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General" sheetId="1" r:id="rId1"/>
    <sheet name="Alumbrado público" sheetId="2" r:id="rId2"/>
    <sheet name="Dependencias" sheetId="3" r:id="rId3"/>
    <sheet name="C. Sociales" sheetId="4" r:id="rId4"/>
    <sheet name="Colegios" sheetId="5" r:id="rId5"/>
    <sheet name="Mercados" sheetId="6" r:id="rId6"/>
    <sheet name="Semáforos" sheetId="7" r:id="rId7"/>
    <sheet name="MEDIA TENSIÓN" sheetId="8" r:id="rId8"/>
    <sheet name="Resumen" sheetId="9" r:id="rId9"/>
    <sheet name="Estadio" sheetId="10" r:id="rId10"/>
    <sheet name="Eventuales" sheetId="11" r:id="rId11"/>
  </sheets>
  <definedNames>
    <definedName name="_xlnm.Print_Titles" localSheetId="0">('General'!$A:$A,'General'!$2:$3)</definedName>
  </definedNames>
  <calcPr fullCalcOnLoad="1"/>
</workbook>
</file>

<file path=xl/sharedStrings.xml><?xml version="1.0" encoding="utf-8"?>
<sst xmlns="http://schemas.openxmlformats.org/spreadsheetml/2006/main" count="249" uniqueCount="51">
  <si>
    <t xml:space="preserve">           ALUMBRADO PUBLICO</t>
  </si>
  <si>
    <t xml:space="preserve">                  DEPENDENCIAS</t>
  </si>
  <si>
    <t xml:space="preserve">               CENTROS SOCIALES</t>
  </si>
  <si>
    <t xml:space="preserve">             COLEGIOS</t>
  </si>
  <si>
    <t xml:space="preserve">               MERCADOS</t>
  </si>
  <si>
    <t xml:space="preserve">  SEMÁFOROS</t>
  </si>
  <si>
    <t>EVENTUALES</t>
  </si>
  <si>
    <t>RESUMEN</t>
  </si>
  <si>
    <t>MES</t>
  </si>
  <si>
    <t>Importe</t>
  </si>
  <si>
    <t>Energia</t>
  </si>
  <si>
    <t>€/kwh</t>
  </si>
  <si>
    <t xml:space="preserve">ENERO </t>
  </si>
  <si>
    <t>ENERO MT</t>
  </si>
  <si>
    <t>FEBRERO</t>
  </si>
  <si>
    <t>FEBRERO MT</t>
  </si>
  <si>
    <t xml:space="preserve">MARZO </t>
  </si>
  <si>
    <t>MARZO MT</t>
  </si>
  <si>
    <t>ABRIL</t>
  </si>
  <si>
    <t>ABRIL MT</t>
  </si>
  <si>
    <t xml:space="preserve">MAYO </t>
  </si>
  <si>
    <t>MAYO MT</t>
  </si>
  <si>
    <t xml:space="preserve">JUNIO </t>
  </si>
  <si>
    <t>JUNIO MT</t>
  </si>
  <si>
    <t xml:space="preserve">JULIO </t>
  </si>
  <si>
    <t>JULIO MT</t>
  </si>
  <si>
    <t>AGOSTO</t>
  </si>
  <si>
    <t>AGOSTO MT</t>
  </si>
  <si>
    <t xml:space="preserve">SEPTIEMBRE </t>
  </si>
  <si>
    <t>SEPTIEMBRE MT</t>
  </si>
  <si>
    <t xml:space="preserve">OCTUBRE </t>
  </si>
  <si>
    <t>OCTUBRE MT</t>
  </si>
  <si>
    <t xml:space="preserve">NOVIEMBRE </t>
  </si>
  <si>
    <t>NOVIEMBRE TM</t>
  </si>
  <si>
    <t xml:space="preserve">DICIEMBRE </t>
  </si>
  <si>
    <t>DICIEMBRE MT</t>
  </si>
  <si>
    <t>TOTAL</t>
  </si>
  <si>
    <t>Energía en Kwh</t>
  </si>
  <si>
    <t xml:space="preserve">       ALUMBRADO PUBLICO</t>
  </si>
  <si>
    <t>kwh</t>
  </si>
  <si>
    <t xml:space="preserve">FEBRERO </t>
  </si>
  <si>
    <t xml:space="preserve">ABRIL </t>
  </si>
  <si>
    <t>JUNIO</t>
  </si>
  <si>
    <t xml:space="preserve">AGOSTO </t>
  </si>
  <si>
    <t>DEPENDENCIAS</t>
  </si>
  <si>
    <t>CENTROS SOCIALES</t>
  </si>
  <si>
    <t>COLEGIOS</t>
  </si>
  <si>
    <t>MERCADOS</t>
  </si>
  <si>
    <t>SEMÁFOROS</t>
  </si>
  <si>
    <t>MEDIA TENSIÓN</t>
  </si>
  <si>
    <t>ESTADIO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</si>
</sst>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&quot; € &quot;;#,##0.00&quot; € &quot;;\-#&quot; € &quot;;@\ "/>
    <numFmt numFmtId="166" formatCode="#,##0.00&quot;    &quot;;#,##0.00&quot;    &quot;;\-#&quot;    &quot;;@\ "/>
    <numFmt numFmtId="167" formatCode="#,##0&quot;    &quot;;#,##0&quot;    &quot;;\-#&quot;    &quot;;@\ "/>
    <numFmt numFmtId="168" formatCode="#,##0.0000&quot;   &quot;"/>
    <numFmt numFmtId="169" formatCode="#,##0.00&quot; €&quot;;[RED]\-#,##0.00&quot; €&quot;"/>
    <numFmt numFmtId="170" formatCode="#,##0.00;\-#,##0.00"/>
    <numFmt numFmtId="171" formatCode="0.00%"/>
    <numFmt numFmtId="172" formatCode="#,##0.0000&quot; € &quot;;#,##0.0000&quot; € &quot;;\-#&quot; € &quot;;@\ "/>
    <numFmt numFmtId="173" formatCode="#,##0.00\ [$€-C0A];[RED]\-#,##0.00\ [$€-C0A]"/>
    <numFmt numFmtId="174" formatCode="#,##0"/>
  </numFmts>
  <fonts count="1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5" fontId="0" fillId="0" borderId="0" xfId="20" applyFont="1" applyFill="1" applyBorder="1" applyAlignment="1" applyProtection="1">
      <alignment/>
      <protection/>
    </xf>
    <xf numFmtId="167" fontId="0" fillId="0" borderId="0" xfId="15" applyNumberFormat="1" applyFont="1" applyFill="1" applyBorder="1" applyAlignment="1" applyProtection="1">
      <alignment horizontal="center"/>
      <protection/>
    </xf>
    <xf numFmtId="168" fontId="0" fillId="0" borderId="0" xfId="20" applyNumberFormat="1" applyFont="1" applyFill="1" applyBorder="1" applyAlignment="1" applyProtection="1">
      <alignment horizontal="center"/>
      <protection/>
    </xf>
    <xf numFmtId="167" fontId="0" fillId="0" borderId="0" xfId="15" applyNumberFormat="1" applyFont="1" applyFill="1" applyBorder="1" applyAlignment="1" applyProtection="1">
      <alignment/>
      <protection/>
    </xf>
    <xf numFmtId="168" fontId="0" fillId="0" borderId="0" xfId="20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4" fontId="0" fillId="2" borderId="1" xfId="0" applyFill="1" applyBorder="1" applyAlignment="1">
      <alignment/>
    </xf>
    <xf numFmtId="165" fontId="0" fillId="2" borderId="1" xfId="20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1" fillId="2" borderId="1" xfId="0" applyFont="1" applyFill="1" applyBorder="1" applyAlignment="1">
      <alignment/>
    </xf>
    <xf numFmtId="165" fontId="1" fillId="0" borderId="0" xfId="17" applyFont="1" applyFill="1" applyBorder="1" applyAlignment="1" applyProtection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8" fontId="1" fillId="0" borderId="0" xfId="20" applyNumberFormat="1" applyFont="1" applyFill="1" applyBorder="1" applyAlignment="1" applyProtection="1">
      <alignment horizontal="center"/>
      <protection/>
    </xf>
    <xf numFmtId="165" fontId="1" fillId="2" borderId="1" xfId="20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20" applyFont="1" applyFill="1" applyBorder="1" applyAlignment="1" applyProtection="1">
      <alignment horizontal="center"/>
      <protection/>
    </xf>
    <xf numFmtId="167" fontId="1" fillId="0" borderId="1" xfId="15" applyNumberFormat="1" applyFont="1" applyFill="1" applyBorder="1" applyAlignment="1" applyProtection="1">
      <alignment horizontal="center"/>
      <protection/>
    </xf>
    <xf numFmtId="168" fontId="1" fillId="0" borderId="1" xfId="20" applyNumberFormat="1" applyFont="1" applyFill="1" applyBorder="1" applyAlignment="1" applyProtection="1">
      <alignment horizontal="center"/>
      <protection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5" fontId="2" fillId="0" borderId="1" xfId="20" applyFont="1" applyFill="1" applyBorder="1" applyAlignment="1" applyProtection="1">
      <alignment horizontal="center"/>
      <protection/>
    </xf>
    <xf numFmtId="167" fontId="2" fillId="0" borderId="1" xfId="15" applyNumberFormat="1" applyFont="1" applyFill="1" applyBorder="1" applyAlignment="1" applyProtection="1">
      <alignment horizontal="center"/>
      <protection/>
    </xf>
    <xf numFmtId="168" fontId="2" fillId="0" borderId="1" xfId="20" applyNumberFormat="1" applyFont="1" applyFill="1" applyBorder="1" applyAlignment="1" applyProtection="1">
      <alignment horizontal="center"/>
      <protection/>
    </xf>
    <xf numFmtId="165" fontId="2" fillId="2" borderId="1" xfId="20" applyFont="1" applyFill="1" applyBorder="1" applyAlignment="1" applyProtection="1">
      <alignment horizontal="center"/>
      <protection/>
    </xf>
    <xf numFmtId="169" fontId="2" fillId="0" borderId="1" xfId="20" applyNumberFormat="1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2" borderId="1" xfId="0" applyFont="1" applyFill="1" applyBorder="1" applyAlignment="1">
      <alignment/>
    </xf>
    <xf numFmtId="165" fontId="2" fillId="0" borderId="1" xfId="20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 horizontal="right"/>
      <protection/>
    </xf>
    <xf numFmtId="165" fontId="2" fillId="2" borderId="1" xfId="20" applyFont="1" applyFill="1" applyBorder="1" applyAlignment="1" applyProtection="1">
      <alignment horizontal="right"/>
      <protection/>
    </xf>
    <xf numFmtId="165" fontId="2" fillId="2" borderId="1" xfId="20" applyFont="1" applyFill="1" applyBorder="1" applyAlignment="1" applyProtection="1">
      <alignment/>
      <protection/>
    </xf>
    <xf numFmtId="170" fontId="2" fillId="0" borderId="1" xfId="20" applyNumberFormat="1" applyFont="1" applyFill="1" applyBorder="1" applyAlignment="1" applyProtection="1">
      <alignment/>
      <protection/>
    </xf>
    <xf numFmtId="165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64" fontId="3" fillId="0" borderId="0" xfId="0" applyFont="1" applyAlignment="1">
      <alignment/>
    </xf>
    <xf numFmtId="165" fontId="1" fillId="0" borderId="0" xfId="20" applyFont="1" applyFill="1" applyBorder="1" applyAlignment="1" applyProtection="1">
      <alignment horizontal="right"/>
      <protection/>
    </xf>
    <xf numFmtId="167" fontId="1" fillId="0" borderId="0" xfId="15" applyNumberFormat="1" applyFont="1" applyFill="1" applyBorder="1" applyAlignment="1" applyProtection="1">
      <alignment horizontal="right"/>
      <protection/>
    </xf>
    <xf numFmtId="168" fontId="1" fillId="0" borderId="0" xfId="20" applyNumberFormat="1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/>
    </xf>
    <xf numFmtId="165" fontId="1" fillId="0" borderId="0" xfId="20" applyFont="1" applyFill="1" applyBorder="1" applyAlignment="1" applyProtection="1">
      <alignment/>
      <protection/>
    </xf>
    <xf numFmtId="168" fontId="3" fillId="0" borderId="0" xfId="20" applyNumberFormat="1" applyFont="1" applyFill="1" applyBorder="1" applyAlignment="1" applyProtection="1">
      <alignment/>
      <protection/>
    </xf>
    <xf numFmtId="167" fontId="1" fillId="0" borderId="0" xfId="15" applyNumberFormat="1" applyFont="1" applyFill="1" applyBorder="1" applyAlignment="1" applyProtection="1">
      <alignment/>
      <protection/>
    </xf>
    <xf numFmtId="168" fontId="1" fillId="0" borderId="0" xfId="20" applyNumberFormat="1" applyFont="1" applyFill="1" applyBorder="1" applyAlignment="1" applyProtection="1">
      <alignment/>
      <protection/>
    </xf>
    <xf numFmtId="169" fontId="1" fillId="0" borderId="0" xfId="20" applyNumberFormat="1" applyFont="1" applyFill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71" fontId="0" fillId="0" borderId="0" xfId="20" applyNumberFormat="1" applyFont="1" applyFill="1" applyBorder="1" applyAlignment="1" applyProtection="1">
      <alignment/>
      <protection/>
    </xf>
    <xf numFmtId="171" fontId="2" fillId="0" borderId="0" xfId="20" applyNumberFormat="1" applyFont="1" applyFill="1" applyBorder="1" applyAlignment="1" applyProtection="1">
      <alignment/>
      <protection/>
    </xf>
    <xf numFmtId="164" fontId="4" fillId="0" borderId="0" xfId="0" applyFont="1" applyAlignment="1">
      <alignment/>
    </xf>
    <xf numFmtId="172" fontId="5" fillId="0" borderId="0" xfId="20" applyNumberFormat="1" applyFont="1" applyFill="1" applyBorder="1" applyAlignment="1" applyProtection="1">
      <alignment/>
      <protection/>
    </xf>
    <xf numFmtId="164" fontId="6" fillId="0" borderId="1" xfId="0" applyFont="1" applyBorder="1" applyAlignment="1">
      <alignment/>
    </xf>
    <xf numFmtId="165" fontId="6" fillId="0" borderId="1" xfId="17" applyFont="1" applyFill="1" applyBorder="1" applyAlignment="1" applyProtection="1">
      <alignment/>
      <protection/>
    </xf>
    <xf numFmtId="172" fontId="6" fillId="0" borderId="1" xfId="20" applyNumberFormat="1" applyFont="1" applyFill="1" applyBorder="1" applyAlignment="1" applyProtection="1">
      <alignment horizontal="center"/>
      <protection/>
    </xf>
    <xf numFmtId="165" fontId="6" fillId="0" borderId="1" xfId="20" applyFont="1" applyFill="1" applyBorder="1" applyAlignment="1" applyProtection="1">
      <alignment horizontal="center"/>
      <protection/>
    </xf>
    <xf numFmtId="167" fontId="6" fillId="0" borderId="1" xfId="15" applyNumberFormat="1" applyFont="1" applyFill="1" applyBorder="1" applyAlignment="1" applyProtection="1">
      <alignment horizontal="center"/>
      <protection/>
    </xf>
    <xf numFmtId="164" fontId="5" fillId="0" borderId="1" xfId="0" applyFont="1" applyBorder="1" applyAlignment="1">
      <alignment/>
    </xf>
    <xf numFmtId="165" fontId="5" fillId="0" borderId="1" xfId="20" applyFont="1" applyFill="1" applyBorder="1" applyAlignment="1" applyProtection="1">
      <alignment/>
      <protection/>
    </xf>
    <xf numFmtId="167" fontId="5" fillId="0" borderId="1" xfId="15" applyNumberFormat="1" applyFont="1" applyFill="1" applyBorder="1" applyAlignment="1" applyProtection="1">
      <alignment/>
      <protection/>
    </xf>
    <xf numFmtId="168" fontId="5" fillId="0" borderId="1" xfId="20" applyNumberFormat="1" applyFont="1" applyFill="1" applyBorder="1" applyAlignment="1" applyProtection="1">
      <alignment horizontal="center"/>
      <protection/>
    </xf>
    <xf numFmtId="167" fontId="7" fillId="0" borderId="1" xfId="15" applyNumberFormat="1" applyFont="1" applyFill="1" applyBorder="1" applyAlignment="1" applyProtection="1">
      <alignment horizontal="right"/>
      <protection/>
    </xf>
    <xf numFmtId="165" fontId="7" fillId="0" borderId="1" xfId="20" applyFont="1" applyFill="1" applyBorder="1" applyAlignment="1" applyProtection="1">
      <alignment/>
      <protection/>
    </xf>
    <xf numFmtId="164" fontId="6" fillId="0" borderId="0" xfId="0" applyFont="1" applyBorder="1" applyAlignment="1">
      <alignment/>
    </xf>
    <xf numFmtId="165" fontId="6" fillId="0" borderId="0" xfId="20" applyFont="1" applyFill="1" applyBorder="1" applyAlignment="1" applyProtection="1">
      <alignment/>
      <protection/>
    </xf>
    <xf numFmtId="167" fontId="6" fillId="0" borderId="0" xfId="15" applyNumberFormat="1" applyFont="1" applyFill="1" applyBorder="1" applyAlignment="1" applyProtection="1">
      <alignment/>
      <protection/>
    </xf>
    <xf numFmtId="168" fontId="6" fillId="0" borderId="0" xfId="20" applyNumberFormat="1" applyFont="1" applyFill="1" applyBorder="1" applyAlignment="1" applyProtection="1">
      <alignment horizontal="center"/>
      <protection/>
    </xf>
    <xf numFmtId="164" fontId="4" fillId="0" borderId="0" xfId="0" applyFont="1" applyBorder="1" applyAlignment="1">
      <alignment/>
    </xf>
    <xf numFmtId="164" fontId="6" fillId="0" borderId="1" xfId="0" applyFont="1" applyBorder="1" applyAlignment="1">
      <alignment horizontal="center"/>
    </xf>
    <xf numFmtId="167" fontId="5" fillId="0" borderId="1" xfId="15" applyNumberFormat="1" applyFont="1" applyFill="1" applyBorder="1" applyAlignment="1" applyProtection="1">
      <alignment horizontal="center"/>
      <protection/>
    </xf>
    <xf numFmtId="168" fontId="6" fillId="0" borderId="1" xfId="20" applyNumberFormat="1" applyFont="1" applyFill="1" applyBorder="1" applyAlignment="1" applyProtection="1">
      <alignment horizontal="center"/>
      <protection/>
    </xf>
    <xf numFmtId="165" fontId="5" fillId="0" borderId="1" xfId="20" applyFont="1" applyFill="1" applyBorder="1" applyAlignment="1" applyProtection="1">
      <alignment horizontal="center"/>
      <protection/>
    </xf>
    <xf numFmtId="173" fontId="5" fillId="3" borderId="2" xfId="0" applyNumberFormat="1" applyFont="1" applyFill="1" applyBorder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8" fontId="5" fillId="0" borderId="1" xfId="20" applyNumberFormat="1" applyFont="1" applyFill="1" applyBorder="1" applyAlignment="1" applyProtection="1">
      <alignment horizontal="right"/>
      <protection/>
    </xf>
    <xf numFmtId="167" fontId="6" fillId="0" borderId="0" xfId="15" applyNumberFormat="1" applyFont="1" applyFill="1" applyBorder="1" applyAlignment="1" applyProtection="1">
      <alignment horizontal="center"/>
      <protection/>
    </xf>
    <xf numFmtId="168" fontId="6" fillId="0" borderId="0" xfId="20" applyNumberFormat="1" applyFont="1" applyFill="1" applyBorder="1" applyAlignment="1" applyProtection="1">
      <alignment horizontal="right"/>
      <protection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Border="1" applyAlignment="1">
      <alignment horizontal="center"/>
    </xf>
    <xf numFmtId="168" fontId="9" fillId="0" borderId="0" xfId="0" applyNumberFormat="1" applyFont="1" applyAlignment="1">
      <alignment horizontal="center"/>
    </xf>
    <xf numFmtId="164" fontId="9" fillId="0" borderId="0" xfId="0" applyFont="1" applyAlignment="1">
      <alignment/>
    </xf>
    <xf numFmtId="164" fontId="10" fillId="0" borderId="1" xfId="0" applyFont="1" applyBorder="1" applyAlignment="1">
      <alignment/>
    </xf>
    <xf numFmtId="165" fontId="10" fillId="0" borderId="1" xfId="20" applyFont="1" applyFill="1" applyBorder="1" applyAlignment="1" applyProtection="1">
      <alignment horizontal="center"/>
      <protection/>
    </xf>
    <xf numFmtId="167" fontId="10" fillId="0" borderId="1" xfId="15" applyNumberFormat="1" applyFont="1" applyFill="1" applyBorder="1" applyAlignment="1" applyProtection="1">
      <alignment horizontal="center"/>
      <protection/>
    </xf>
    <xf numFmtId="172" fontId="10" fillId="0" borderId="1" xfId="20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/>
    </xf>
    <xf numFmtId="164" fontId="10" fillId="0" borderId="0" xfId="0" applyFont="1" applyBorder="1" applyAlignment="1">
      <alignment/>
    </xf>
    <xf numFmtId="168" fontId="6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workbookViewId="0" topLeftCell="A1">
      <pane xSplit="2" ySplit="3" topLeftCell="AD4" activePane="bottomRight" state="frozen"/>
      <selection pane="topLeft" activeCell="A1" sqref="A1"/>
      <selection pane="topRight" activeCell="AD1" sqref="AD1"/>
      <selection pane="bottomLeft" activeCell="A4" sqref="A4"/>
      <selection pane="bottomRight" activeCell="H28" sqref="H28"/>
    </sheetView>
  </sheetViews>
  <sheetFormatPr defaultColWidth="10.28125" defaultRowHeight="12.75"/>
  <cols>
    <col min="1" max="1" width="13.28125" style="0" customWidth="1"/>
    <col min="2" max="2" width="0.85546875" style="0" customWidth="1"/>
    <col min="3" max="3" width="13.28125" style="1" customWidth="1"/>
    <col min="4" max="4" width="11.421875" style="2" customWidth="1"/>
    <col min="5" max="5" width="8.421875" style="3" customWidth="1"/>
    <col min="6" max="6" width="0.85546875" style="1" customWidth="1"/>
    <col min="7" max="7" width="12.28125" style="1" customWidth="1"/>
    <col min="8" max="8" width="12.57421875" style="4" customWidth="1"/>
    <col min="9" max="9" width="7.8515625" style="5" customWidth="1"/>
    <col min="10" max="10" width="0.85546875" style="1" customWidth="1"/>
    <col min="11" max="11" width="11.140625" style="1" customWidth="1"/>
    <col min="12" max="12" width="11.421875" style="4" customWidth="1"/>
    <col min="13" max="13" width="7.8515625" style="5" customWidth="1"/>
    <col min="14" max="14" width="0.85546875" style="1" customWidth="1"/>
    <col min="15" max="15" width="12.421875" style="1" customWidth="1"/>
    <col min="16" max="16" width="11.421875" style="4" customWidth="1"/>
    <col min="17" max="17" width="7.8515625" style="5" customWidth="1"/>
    <col min="18" max="18" width="0.85546875" style="1" customWidth="1"/>
    <col min="19" max="19" width="11.140625" style="1" customWidth="1"/>
    <col min="20" max="20" width="10.00390625" style="4" customWidth="1"/>
    <col min="21" max="21" width="7.8515625" style="5" customWidth="1"/>
    <col min="22" max="22" width="0.85546875" style="1" customWidth="1"/>
    <col min="23" max="23" width="11.140625" style="1" customWidth="1"/>
    <col min="24" max="24" width="10.00390625" style="4" customWidth="1"/>
    <col min="25" max="25" width="7.8515625" style="5" customWidth="1"/>
    <col min="26" max="26" width="0.85546875" style="1" customWidth="1"/>
    <col min="27" max="27" width="14.421875" style="0" customWidth="1"/>
    <col min="28" max="28" width="13.28125" style="0" customWidth="1"/>
    <col min="29" max="29" width="8.140625" style="6" customWidth="1"/>
    <col min="30" max="30" width="0.85546875" style="0" customWidth="1"/>
    <col min="31" max="31" width="14.421875" style="0" customWidth="1"/>
    <col min="32" max="32" width="13.28125" style="0" customWidth="1"/>
    <col min="33" max="33" width="10.421875" style="6" customWidth="1"/>
    <col min="34" max="34" width="3.28125" style="0" customWidth="1"/>
    <col min="35" max="16384" width="11.00390625" style="0" customWidth="1"/>
  </cols>
  <sheetData>
    <row r="1" spans="2:34" ht="14.25">
      <c r="B1" s="7"/>
      <c r="F1" s="8"/>
      <c r="J1" s="8"/>
      <c r="N1" s="8"/>
      <c r="R1" s="8"/>
      <c r="V1" s="8"/>
      <c r="Z1" s="8"/>
      <c r="AD1" s="7"/>
      <c r="AH1" s="7"/>
    </row>
    <row r="2" spans="1:34" ht="14.25">
      <c r="A2" s="9"/>
      <c r="B2" s="10"/>
      <c r="C2" s="11" t="s">
        <v>0</v>
      </c>
      <c r="D2" s="12"/>
      <c r="E2" s="13"/>
      <c r="F2" s="14"/>
      <c r="G2" s="15" t="s">
        <v>1</v>
      </c>
      <c r="H2" s="15"/>
      <c r="I2" s="13"/>
      <c r="J2" s="14"/>
      <c r="K2" s="15" t="s">
        <v>2</v>
      </c>
      <c r="L2" s="15"/>
      <c r="M2" s="13"/>
      <c r="N2" s="14"/>
      <c r="O2" s="15" t="s">
        <v>3</v>
      </c>
      <c r="P2" s="15"/>
      <c r="Q2" s="13"/>
      <c r="R2" s="14"/>
      <c r="S2" s="15" t="s">
        <v>4</v>
      </c>
      <c r="T2" s="15"/>
      <c r="U2" s="13"/>
      <c r="V2" s="14"/>
      <c r="W2" s="15" t="s">
        <v>5</v>
      </c>
      <c r="X2" s="15"/>
      <c r="Y2" s="15"/>
      <c r="Z2" s="16"/>
      <c r="AA2" s="15" t="s">
        <v>6</v>
      </c>
      <c r="AB2" s="15"/>
      <c r="AC2" s="15"/>
      <c r="AD2" s="7"/>
      <c r="AE2" s="15" t="s">
        <v>7</v>
      </c>
      <c r="AF2" s="15"/>
      <c r="AG2" s="15"/>
      <c r="AH2" s="7"/>
    </row>
    <row r="3" spans="1:34" ht="14.25">
      <c r="A3" s="17" t="s">
        <v>8</v>
      </c>
      <c r="B3" s="10"/>
      <c r="C3" s="18" t="s">
        <v>9</v>
      </c>
      <c r="D3" s="19" t="s">
        <v>10</v>
      </c>
      <c r="E3" s="20" t="s">
        <v>11</v>
      </c>
      <c r="F3" s="14"/>
      <c r="G3" s="18" t="s">
        <v>9</v>
      </c>
      <c r="H3" s="19" t="s">
        <v>10</v>
      </c>
      <c r="I3" s="20" t="s">
        <v>11</v>
      </c>
      <c r="J3" s="14"/>
      <c r="K3" s="18" t="s">
        <v>9</v>
      </c>
      <c r="L3" s="19" t="s">
        <v>10</v>
      </c>
      <c r="M3" s="20" t="s">
        <v>11</v>
      </c>
      <c r="N3" s="14"/>
      <c r="O3" s="18" t="s">
        <v>9</v>
      </c>
      <c r="P3" s="19" t="s">
        <v>10</v>
      </c>
      <c r="Q3" s="20" t="s">
        <v>11</v>
      </c>
      <c r="R3" s="14"/>
      <c r="S3" s="18" t="s">
        <v>9</v>
      </c>
      <c r="T3" s="19" t="s">
        <v>10</v>
      </c>
      <c r="U3" s="20" t="s">
        <v>11</v>
      </c>
      <c r="V3" s="14"/>
      <c r="W3" s="18" t="s">
        <v>9</v>
      </c>
      <c r="X3" s="19" t="s">
        <v>10</v>
      </c>
      <c r="Y3" s="20" t="s">
        <v>11</v>
      </c>
      <c r="Z3" s="14"/>
      <c r="AA3" s="18" t="s">
        <v>9</v>
      </c>
      <c r="AB3" s="21" t="s">
        <v>10</v>
      </c>
      <c r="AC3" s="20" t="s">
        <v>11</v>
      </c>
      <c r="AD3" s="7"/>
      <c r="AE3" s="18" t="s">
        <v>9</v>
      </c>
      <c r="AF3" s="21" t="s">
        <v>10</v>
      </c>
      <c r="AG3" s="20" t="s">
        <v>11</v>
      </c>
      <c r="AH3" s="7"/>
    </row>
    <row r="4" spans="1:34" ht="14.25">
      <c r="A4" s="22" t="s">
        <v>12</v>
      </c>
      <c r="B4" s="10"/>
      <c r="C4" s="23">
        <f>'Alumbrado público'!B3</f>
        <v>548708.83</v>
      </c>
      <c r="D4" s="24">
        <f>'Alumbrado público'!C3</f>
        <v>3811377</v>
      </c>
      <c r="E4" s="25">
        <f>C4/D4</f>
        <v>0.1439660337982834</v>
      </c>
      <c r="F4" s="26"/>
      <c r="G4" s="23">
        <f>Dependencias!B3</f>
        <v>123645.61</v>
      </c>
      <c r="H4" s="24">
        <f>Dependencias!C3</f>
        <v>643991</v>
      </c>
      <c r="I4" s="25">
        <f aca="true" t="shared" si="0" ref="I4:I7">G4/H4</f>
        <v>0.19199897203532348</v>
      </c>
      <c r="J4" s="26"/>
      <c r="K4" s="23">
        <f>'C. Sociales'!B3</f>
        <v>36584.37</v>
      </c>
      <c r="L4" s="24">
        <f>'C. Sociales'!C3</f>
        <v>156159</v>
      </c>
      <c r="M4" s="25">
        <f>K4/L4</f>
        <v>0.2342764105815227</v>
      </c>
      <c r="N4" s="26"/>
      <c r="O4" s="23">
        <f>Colegios!B3</f>
        <v>74313.26000000001</v>
      </c>
      <c r="P4" s="24">
        <f>Colegios!C3</f>
        <v>357190</v>
      </c>
      <c r="Q4" s="25">
        <f>O4/P4</f>
        <v>0.2080496654441614</v>
      </c>
      <c r="R4" s="26"/>
      <c r="S4" s="23">
        <f>Mercados!B3</f>
        <v>8147.0599999999995</v>
      </c>
      <c r="T4" s="24">
        <f>Mercados!C3</f>
        <v>40161</v>
      </c>
      <c r="U4" s="25">
        <f>S4/T4</f>
        <v>0.20285998854610193</v>
      </c>
      <c r="V4" s="26"/>
      <c r="W4" s="27">
        <f>Semáforos!B3</f>
        <v>11339.16</v>
      </c>
      <c r="X4" s="28">
        <f>Semáforos!C3</f>
        <v>68437</v>
      </c>
      <c r="Y4" s="25">
        <f>W4/X4</f>
        <v>0.16568756666715373</v>
      </c>
      <c r="Z4" s="26"/>
      <c r="AA4" s="29">
        <f>Eventuales!B3</f>
        <v>141.37</v>
      </c>
      <c r="AB4" s="30">
        <f>Eventuales!C3</f>
        <v>148</v>
      </c>
      <c r="AC4" s="25">
        <f>AA4/AB4</f>
        <v>0.9552027027027027</v>
      </c>
      <c r="AD4" s="7"/>
      <c r="AE4" s="29">
        <f aca="true" t="shared" si="1" ref="AE4:AE7">C4+G4+K4+O4+S4+W4+AA4</f>
        <v>802879.66</v>
      </c>
      <c r="AF4" s="30">
        <f aca="true" t="shared" si="2" ref="AF4:AF5">D4+H4+L4+P4+T4+X4+AB4</f>
        <v>5077463</v>
      </c>
      <c r="AG4" s="29">
        <f aca="true" t="shared" si="3" ref="AG4:AG24">AE4/AF4</f>
        <v>0.15812614685720014</v>
      </c>
      <c r="AH4" s="7"/>
    </row>
    <row r="5" spans="1:34" ht="14.25">
      <c r="A5" s="22" t="s">
        <v>13</v>
      </c>
      <c r="B5" s="10"/>
      <c r="C5" s="23"/>
      <c r="D5" s="24"/>
      <c r="E5" s="25"/>
      <c r="F5" s="26"/>
      <c r="G5" s="23">
        <f>'MEDIA TENSIÓN'!B3</f>
        <v>14281.010000000002</v>
      </c>
      <c r="H5" s="24">
        <f>'MEDIA TENSIÓN'!C3</f>
        <v>66358</v>
      </c>
      <c r="I5" s="25">
        <f t="shared" si="0"/>
        <v>0.21521157961361104</v>
      </c>
      <c r="J5" s="26"/>
      <c r="K5" s="23"/>
      <c r="L5" s="24"/>
      <c r="M5" s="25"/>
      <c r="N5" s="26"/>
      <c r="O5" s="23"/>
      <c r="P5" s="24"/>
      <c r="Q5" s="25"/>
      <c r="R5" s="26"/>
      <c r="S5" s="23"/>
      <c r="T5" s="24"/>
      <c r="U5" s="25"/>
      <c r="V5" s="26"/>
      <c r="W5" s="27"/>
      <c r="X5" s="28"/>
      <c r="Y5" s="25"/>
      <c r="Z5" s="26"/>
      <c r="AA5" s="29"/>
      <c r="AB5" s="30"/>
      <c r="AC5" s="25"/>
      <c r="AD5" s="7"/>
      <c r="AE5" s="29">
        <f t="shared" si="1"/>
        <v>14281.010000000002</v>
      </c>
      <c r="AF5" s="30">
        <f t="shared" si="2"/>
        <v>66358</v>
      </c>
      <c r="AG5" s="25">
        <f t="shared" si="3"/>
        <v>0.21521157961361104</v>
      </c>
      <c r="AH5" s="7"/>
    </row>
    <row r="6" spans="1:34" ht="14.25">
      <c r="A6" s="22" t="s">
        <v>14</v>
      </c>
      <c r="B6" s="31"/>
      <c r="C6" s="32">
        <f>'Alumbrado público'!B4</f>
        <v>407289.63</v>
      </c>
      <c r="D6" s="33">
        <f>'Alumbrado público'!C4</f>
        <v>2895082</v>
      </c>
      <c r="E6" s="25">
        <f>'Alumbrado público'!D4</f>
        <v>0.14068327943733547</v>
      </c>
      <c r="F6" s="34"/>
      <c r="G6" s="32">
        <f>Dependencias!B4</f>
        <v>106768.16</v>
      </c>
      <c r="H6" s="24">
        <f>Dependencias!C4</f>
        <v>562497</v>
      </c>
      <c r="I6" s="25">
        <f t="shared" si="0"/>
        <v>0.18981107454795315</v>
      </c>
      <c r="J6" s="35"/>
      <c r="K6" s="32">
        <f>'C. Sociales'!B4</f>
        <v>39819.06</v>
      </c>
      <c r="L6" s="32">
        <f>'C. Sociales'!C4</f>
        <v>174717</v>
      </c>
      <c r="M6" s="32">
        <f>'C. Sociales'!D4</f>
        <v>0.22790604234276</v>
      </c>
      <c r="N6" s="35"/>
      <c r="O6" s="32">
        <f>Colegios!B4</f>
        <v>92325.48</v>
      </c>
      <c r="P6" s="32">
        <f>Colegios!C4</f>
        <v>504218</v>
      </c>
      <c r="Q6" s="32">
        <f>Colegios!D4</f>
        <v>0.1831062754602176</v>
      </c>
      <c r="R6" s="35"/>
      <c r="S6" s="32">
        <f>Mercados!B4</f>
        <v>4470.21</v>
      </c>
      <c r="T6" s="32">
        <f>Mercados!C4</f>
        <v>20387</v>
      </c>
      <c r="U6" s="32">
        <f>Mercados!D4</f>
        <v>0.21926767057438565</v>
      </c>
      <c r="V6" s="35"/>
      <c r="W6" s="29">
        <f>Semáforos!B4</f>
        <v>12372.48</v>
      </c>
      <c r="X6" s="29">
        <f>Semáforos!C4</f>
        <v>75514</v>
      </c>
      <c r="Y6" s="29">
        <f>Semáforos!D4</f>
        <v>0.163843525703843</v>
      </c>
      <c r="Z6" s="35"/>
      <c r="AA6" s="29">
        <f>Eventuales!B4</f>
        <v>1420.49</v>
      </c>
      <c r="AB6" s="29">
        <f>Eventuales!C4</f>
        <v>8635</v>
      </c>
      <c r="AC6" s="29">
        <f>Eventuales!D4</f>
        <v>0.1645037637521714</v>
      </c>
      <c r="AD6" s="7"/>
      <c r="AE6" s="29">
        <f t="shared" si="1"/>
        <v>664465.51</v>
      </c>
      <c r="AF6" s="30">
        <v>4241050</v>
      </c>
      <c r="AG6" s="29">
        <f t="shared" si="3"/>
        <v>0.15667476450407328</v>
      </c>
      <c r="AH6" s="7"/>
    </row>
    <row r="7" spans="1:34" ht="14.25">
      <c r="A7" s="22" t="s">
        <v>15</v>
      </c>
      <c r="B7" s="31"/>
      <c r="C7" s="32"/>
      <c r="D7" s="33"/>
      <c r="E7" s="25"/>
      <c r="F7" s="34"/>
      <c r="G7" s="32">
        <f>'MEDIA TENSIÓN'!B4</f>
        <v>10651.710000000001</v>
      </c>
      <c r="H7" s="33">
        <f>'MEDIA TENSIÓN'!C4</f>
        <v>59829</v>
      </c>
      <c r="I7" s="25">
        <f t="shared" si="0"/>
        <v>0.17803590232161662</v>
      </c>
      <c r="J7" s="35"/>
      <c r="K7" s="32"/>
      <c r="L7" s="24"/>
      <c r="M7" s="25"/>
      <c r="N7" s="35"/>
      <c r="O7" s="32"/>
      <c r="P7" s="28"/>
      <c r="Q7" s="25"/>
      <c r="R7" s="35"/>
      <c r="S7" s="32"/>
      <c r="T7" s="28"/>
      <c r="U7" s="25"/>
      <c r="V7" s="35"/>
      <c r="W7" s="29"/>
      <c r="X7" s="30"/>
      <c r="Y7" s="25"/>
      <c r="Z7" s="35"/>
      <c r="AA7" s="29"/>
      <c r="AB7" s="30"/>
      <c r="AC7" s="25"/>
      <c r="AD7" s="7"/>
      <c r="AE7" s="29">
        <f t="shared" si="1"/>
        <v>10651.710000000001</v>
      </c>
      <c r="AF7" s="30">
        <f>D7+H7+L7+P7+T7+X7+AB7</f>
        <v>59829</v>
      </c>
      <c r="AG7" s="25">
        <f t="shared" si="3"/>
        <v>0.17803590232161662</v>
      </c>
      <c r="AH7" s="7"/>
    </row>
    <row r="8" spans="1:34" ht="14.25">
      <c r="A8" s="22" t="s">
        <v>16</v>
      </c>
      <c r="B8" s="31"/>
      <c r="C8" s="32">
        <f>10743.05+366331+20584.82</f>
        <v>397658.87</v>
      </c>
      <c r="D8" s="28">
        <f>78356+2564849+160686</f>
        <v>2803891</v>
      </c>
      <c r="E8" s="25">
        <f>C8/D8</f>
        <v>0.14182394037428703</v>
      </c>
      <c r="F8" s="34"/>
      <c r="G8" s="32">
        <f>Dependencias!B5</f>
        <v>104382.09999999999</v>
      </c>
      <c r="H8" s="24">
        <f>Dependencias!C5</f>
        <v>548996</v>
      </c>
      <c r="I8" s="25">
        <f>Dependencias!D5</f>
        <v>0.19013271499245896</v>
      </c>
      <c r="J8" s="35"/>
      <c r="K8" s="32">
        <f>'C. Sociales'!B5</f>
        <v>38047.26</v>
      </c>
      <c r="L8" s="24">
        <f>'C. Sociales'!C5</f>
        <v>173736</v>
      </c>
      <c r="M8" s="25">
        <f>'C. Sociales'!D5</f>
        <v>0.21899468158585442</v>
      </c>
      <c r="N8" s="35"/>
      <c r="O8" s="32">
        <f>Colegios!B5</f>
        <v>96007.02</v>
      </c>
      <c r="P8" s="28">
        <f>Colegios!C5</f>
        <v>533411</v>
      </c>
      <c r="Q8" s="25">
        <f>Colegios!D5</f>
        <v>0.17998695190012956</v>
      </c>
      <c r="R8" s="35"/>
      <c r="S8" s="32">
        <f>Mercados!B5</f>
        <v>7240.76</v>
      </c>
      <c r="T8" s="28">
        <f>Mercados!C5</f>
        <v>36188</v>
      </c>
      <c r="U8" s="25">
        <f>Mercados!D5</f>
        <v>0.2000873217641207</v>
      </c>
      <c r="V8" s="35"/>
      <c r="W8" s="32">
        <f>Semáforos!B5</f>
        <v>10253.27</v>
      </c>
      <c r="X8" s="28">
        <f>Semáforos!C5</f>
        <v>60471</v>
      </c>
      <c r="Y8" s="25">
        <f>Semáforos!D5</f>
        <v>0.1695568123563361</v>
      </c>
      <c r="Z8" s="35"/>
      <c r="AA8" s="29">
        <f>Eventuales!B5</f>
        <v>707.05</v>
      </c>
      <c r="AB8" s="30">
        <f>Eventuales!C5</f>
        <v>2327</v>
      </c>
      <c r="AC8" s="25">
        <f>Eventuales!D5</f>
        <v>0.3038461538461538</v>
      </c>
      <c r="AD8" s="7"/>
      <c r="AE8" s="29">
        <f>C8+G8+K8+O4+S4+W4+AA4</f>
        <v>634029.0800000001</v>
      </c>
      <c r="AF8" s="30">
        <f>D8+H8+L8+P8+T8+Y8+AB8</f>
        <v>4098549.1695568124</v>
      </c>
      <c r="AG8" s="25">
        <f t="shared" si="3"/>
        <v>0.15469597991148643</v>
      </c>
      <c r="AH8" s="7"/>
    </row>
    <row r="9" spans="1:34" ht="14.25">
      <c r="A9" s="22" t="s">
        <v>17</v>
      </c>
      <c r="B9" s="31"/>
      <c r="C9" s="32"/>
      <c r="D9" s="28"/>
      <c r="E9" s="25"/>
      <c r="F9" s="34"/>
      <c r="G9" s="32">
        <f>'MEDIA TENSIÓN'!B5</f>
        <v>10744.320000000002</v>
      </c>
      <c r="H9" s="28">
        <f>'MEDIA TENSIÓN'!C5</f>
        <v>60148</v>
      </c>
      <c r="I9" s="25">
        <f>'MEDIA TENSIÓN'!D5</f>
        <v>0.17863137593934963</v>
      </c>
      <c r="J9" s="35"/>
      <c r="K9" s="32"/>
      <c r="L9" s="24"/>
      <c r="M9" s="25"/>
      <c r="N9" s="35"/>
      <c r="O9" s="32"/>
      <c r="P9" s="28"/>
      <c r="Q9" s="25"/>
      <c r="R9" s="35"/>
      <c r="S9" s="32"/>
      <c r="T9" s="28"/>
      <c r="U9" s="25"/>
      <c r="V9" s="35"/>
      <c r="W9" s="32"/>
      <c r="X9" s="28"/>
      <c r="Y9" s="25"/>
      <c r="Z9" s="35"/>
      <c r="AA9" s="29"/>
      <c r="AB9" s="30"/>
      <c r="AC9" s="25"/>
      <c r="AD9" s="7"/>
      <c r="AE9" s="29">
        <f aca="true" t="shared" si="4" ref="AE9:AE24">C9+G9+K9+O9+S9+W9+AA9</f>
        <v>10744.320000000002</v>
      </c>
      <c r="AF9" s="30">
        <f>D9+H9+L9+P9+T9+X9+AB9</f>
        <v>60148</v>
      </c>
      <c r="AG9" s="25">
        <f t="shared" si="3"/>
        <v>0.17863137593934963</v>
      </c>
      <c r="AH9" s="7"/>
    </row>
    <row r="10" spans="1:34" ht="14.25">
      <c r="A10" s="22" t="s">
        <v>18</v>
      </c>
      <c r="B10" s="31"/>
      <c r="C10" s="32">
        <f>'Alumbrado público'!B6</f>
        <v>341415.93</v>
      </c>
      <c r="D10" s="33">
        <f>'Alumbrado público'!C6</f>
        <v>2419986</v>
      </c>
      <c r="E10" s="25">
        <f>'Alumbrado público'!D6</f>
        <v>0.14108177898549826</v>
      </c>
      <c r="F10" s="34"/>
      <c r="G10" s="32">
        <f>Dependencias!B6</f>
        <v>112884.89</v>
      </c>
      <c r="H10" s="24">
        <f>Dependencias!C6</f>
        <v>597251</v>
      </c>
      <c r="I10" s="25">
        <f>Dependencias!D6</f>
        <v>0.18900745247810385</v>
      </c>
      <c r="J10" s="35"/>
      <c r="K10" s="32">
        <f>'C. Sociales'!B6</f>
        <v>36418.89</v>
      </c>
      <c r="L10" s="24">
        <f>'C. Sociales'!C6</f>
        <v>155442</v>
      </c>
      <c r="M10" s="25">
        <f>'C. Sociales'!D6</f>
        <v>0.234292469216814</v>
      </c>
      <c r="N10" s="35"/>
      <c r="O10" s="32">
        <f>Colegios!B6</f>
        <v>93820.41</v>
      </c>
      <c r="P10" s="28">
        <f>Colegios!C6</f>
        <v>443641</v>
      </c>
      <c r="Q10" s="25">
        <f>Colegios!D6</f>
        <v>0.2114782222562838</v>
      </c>
      <c r="R10" s="35"/>
      <c r="S10" s="32">
        <f>Mercados!B6</f>
        <v>3989.47</v>
      </c>
      <c r="T10" s="28">
        <f>Mercados!C6</f>
        <v>17260</v>
      </c>
      <c r="U10" s="25">
        <f>Mercados!D6</f>
        <v>0.2311396292004635</v>
      </c>
      <c r="V10" s="35"/>
      <c r="W10" s="32">
        <f>Semáforos!B6</f>
        <v>22921.510000000002</v>
      </c>
      <c r="X10" s="28">
        <f>Semáforos!C6</f>
        <v>138180</v>
      </c>
      <c r="Y10" s="25">
        <f>Semáforos!D6</f>
        <v>0.16588153133593864</v>
      </c>
      <c r="Z10" s="35"/>
      <c r="AA10" s="29">
        <f>Eventuales!B6</f>
        <v>-819.35</v>
      </c>
      <c r="AB10" s="30">
        <v>0</v>
      </c>
      <c r="AC10" s="25">
        <v>0</v>
      </c>
      <c r="AD10" s="7"/>
      <c r="AE10" s="29">
        <f t="shared" si="4"/>
        <v>610631.75</v>
      </c>
      <c r="AF10" s="30">
        <f>D10+H10+L10+P10+T10+Y10+AB10</f>
        <v>3633580.1658815313</v>
      </c>
      <c r="AG10" s="25">
        <f t="shared" si="3"/>
        <v>0.16805236767133677</v>
      </c>
      <c r="AH10" s="7"/>
    </row>
    <row r="11" spans="1:34" ht="14.25">
      <c r="A11" s="22" t="s">
        <v>19</v>
      </c>
      <c r="B11" s="31"/>
      <c r="C11" s="32"/>
      <c r="D11" s="33"/>
      <c r="E11" s="25"/>
      <c r="F11" s="34"/>
      <c r="G11" s="32">
        <f>'MEDIA TENSIÓN'!B6</f>
        <v>8556.669999999998</v>
      </c>
      <c r="H11" s="33">
        <f>'MEDIA TENSIÓN'!C6</f>
        <v>51198</v>
      </c>
      <c r="I11" s="25">
        <f>'MEDIA TENSIÓN'!D6</f>
        <v>0.16712898941364893</v>
      </c>
      <c r="J11" s="35"/>
      <c r="K11" s="32"/>
      <c r="L11" s="24"/>
      <c r="M11" s="25"/>
      <c r="N11" s="35"/>
      <c r="O11" s="32"/>
      <c r="P11" s="28"/>
      <c r="Q11" s="25"/>
      <c r="R11" s="35"/>
      <c r="S11" s="32"/>
      <c r="T11" s="28"/>
      <c r="U11" s="25"/>
      <c r="V11" s="35"/>
      <c r="W11" s="32"/>
      <c r="X11" s="28"/>
      <c r="Y11" s="25"/>
      <c r="Z11" s="35"/>
      <c r="AA11" s="29"/>
      <c r="AB11" s="30"/>
      <c r="AC11" s="25"/>
      <c r="AD11" s="7"/>
      <c r="AE11" s="29">
        <f t="shared" si="4"/>
        <v>8556.669999999998</v>
      </c>
      <c r="AF11" s="30">
        <f>D11+H11+L11+P11+T11+X11+AB11</f>
        <v>51198</v>
      </c>
      <c r="AG11" s="25">
        <f t="shared" si="3"/>
        <v>0.16712898941364893</v>
      </c>
      <c r="AH11" s="7"/>
    </row>
    <row r="12" spans="1:34" ht="14.25">
      <c r="A12" s="22" t="s">
        <v>20</v>
      </c>
      <c r="B12" s="31"/>
      <c r="C12" s="32">
        <f>'Alumbrado público'!B7</f>
        <v>347815.02</v>
      </c>
      <c r="D12" s="33">
        <f>'Alumbrado público'!C7</f>
        <v>2584266</v>
      </c>
      <c r="E12" s="25">
        <f>'Alumbrado público'!D7</f>
        <v>0.13458948111378627</v>
      </c>
      <c r="F12" s="34"/>
      <c r="G12" s="32">
        <f>Dependencias!B7</f>
        <v>93699.81</v>
      </c>
      <c r="H12" s="24">
        <f>Dependencias!C7</f>
        <v>465521</v>
      </c>
      <c r="I12" s="25">
        <f>Dependencias!D7</f>
        <v>0.20127944818815907</v>
      </c>
      <c r="J12" s="35"/>
      <c r="K12" s="32">
        <f>'C. Sociales'!B7</f>
        <v>27138.51</v>
      </c>
      <c r="L12" s="24">
        <f>'C. Sociales'!C7</f>
        <v>106845</v>
      </c>
      <c r="M12" s="25">
        <f>'C. Sociales'!D7</f>
        <v>0.25399887687772005</v>
      </c>
      <c r="N12" s="35"/>
      <c r="O12" s="32">
        <f>Colegios!B7</f>
        <v>74841.06</v>
      </c>
      <c r="P12" s="28">
        <f>Colegios!C7</f>
        <v>366701</v>
      </c>
      <c r="Q12" s="25">
        <f>Colegios!D7</f>
        <v>0.2040928713038688</v>
      </c>
      <c r="R12" s="35"/>
      <c r="S12" s="32">
        <f>Mercados!B7</f>
        <v>7163.95</v>
      </c>
      <c r="T12" s="28">
        <f>Mercados!C7</f>
        <v>35735</v>
      </c>
      <c r="U12" s="25">
        <f>Mercados!D7</f>
        <v>0.2004743248915629</v>
      </c>
      <c r="V12" s="35"/>
      <c r="W12" s="32">
        <f>Semáforos!B7</f>
        <v>10305.06</v>
      </c>
      <c r="X12" s="28">
        <f>Semáforos!C7</f>
        <v>59610</v>
      </c>
      <c r="Y12" s="25">
        <f>Semáforos!D7</f>
        <v>0.17287468545546048</v>
      </c>
      <c r="Z12" s="35"/>
      <c r="AA12" s="29">
        <f>Eventuales!B7</f>
        <v>724.67</v>
      </c>
      <c r="AB12" s="30">
        <f>Eventuales!C7</f>
        <v>1249</v>
      </c>
      <c r="AC12" s="25">
        <f>Eventuales!D7</f>
        <v>0.5802001601281025</v>
      </c>
      <c r="AD12" s="7"/>
      <c r="AE12" s="29">
        <f t="shared" si="4"/>
        <v>561688.0800000001</v>
      </c>
      <c r="AF12" s="30">
        <f>D12+H12+L12+P12+T12+Y12+AB12</f>
        <v>3560317.1728746854</v>
      </c>
      <c r="AG12" s="25">
        <f t="shared" si="3"/>
        <v>0.15776349485921776</v>
      </c>
      <c r="AH12" s="7"/>
    </row>
    <row r="13" spans="1:34" ht="14.25">
      <c r="A13" s="22" t="s">
        <v>21</v>
      </c>
      <c r="B13" s="31"/>
      <c r="C13" s="32"/>
      <c r="D13" s="32"/>
      <c r="E13" s="25"/>
      <c r="F13" s="34"/>
      <c r="G13" s="32">
        <f>'MEDIA TENSIÓN'!B7</f>
        <v>8952.79</v>
      </c>
      <c r="H13" s="24">
        <f>'MEDIA TENSIÓN'!C7</f>
        <v>47513</v>
      </c>
      <c r="I13" s="25">
        <f>'MEDIA TENSIÓN'!D7</f>
        <v>0.18842821964514977</v>
      </c>
      <c r="J13" s="35"/>
      <c r="K13" s="32"/>
      <c r="L13" s="24"/>
      <c r="M13" s="25"/>
      <c r="N13" s="35"/>
      <c r="O13" s="32"/>
      <c r="P13" s="28"/>
      <c r="Q13" s="25"/>
      <c r="R13" s="35"/>
      <c r="S13" s="32"/>
      <c r="T13" s="28"/>
      <c r="U13" s="25"/>
      <c r="V13" s="35"/>
      <c r="W13" s="32"/>
      <c r="X13" s="28"/>
      <c r="Y13" s="25"/>
      <c r="Z13" s="35"/>
      <c r="AA13" s="29"/>
      <c r="AB13" s="30"/>
      <c r="AC13" s="25"/>
      <c r="AD13" s="7"/>
      <c r="AE13" s="29">
        <f t="shared" si="4"/>
        <v>8952.79</v>
      </c>
      <c r="AF13" s="30">
        <f>D13+H13+L13+P13+T13+X13+AB13</f>
        <v>47513</v>
      </c>
      <c r="AG13" s="25">
        <f t="shared" si="3"/>
        <v>0.18842821964514977</v>
      </c>
      <c r="AH13" s="7"/>
    </row>
    <row r="14" spans="1:34" ht="14.25">
      <c r="A14" s="22" t="s">
        <v>22</v>
      </c>
      <c r="B14" s="31"/>
      <c r="C14" s="32">
        <f>'Alumbrado público'!B8</f>
        <v>272538.64</v>
      </c>
      <c r="D14" s="33">
        <f>'Alumbrado público'!C8</f>
        <v>2036024</v>
      </c>
      <c r="E14" s="25">
        <f>'Alumbrado público'!D8</f>
        <v>0.13385826493204403</v>
      </c>
      <c r="F14" s="34"/>
      <c r="G14" s="32">
        <f>Dependencias!B8</f>
        <v>94182.23</v>
      </c>
      <c r="H14" s="24">
        <f>Dependencias!C8</f>
        <v>578515</v>
      </c>
      <c r="I14" s="25">
        <f>Dependencias!D8</f>
        <v>0.1627999792572362</v>
      </c>
      <c r="J14" s="35"/>
      <c r="K14" s="32">
        <f>'C. Sociales'!B8</f>
        <v>27283.16</v>
      </c>
      <c r="L14" s="24">
        <f>'C. Sociales'!C8</f>
        <v>100672</v>
      </c>
      <c r="M14" s="25">
        <f>'C. Sociales'!D8</f>
        <v>0.27101041004450094</v>
      </c>
      <c r="N14" s="35"/>
      <c r="O14" s="32">
        <f>Colegios!B8</f>
        <v>64505.72</v>
      </c>
      <c r="P14" s="28">
        <f>Colegios!C8</f>
        <v>291412</v>
      </c>
      <c r="Q14" s="25">
        <f>Colegios!D8</f>
        <v>0.2213557437579784</v>
      </c>
      <c r="R14" s="35"/>
      <c r="S14" s="32">
        <f>Mercados!B8</f>
        <v>5535.9</v>
      </c>
      <c r="T14" s="28">
        <f>Mercados!C8</f>
        <v>27299</v>
      </c>
      <c r="U14" s="25">
        <f>Mercados!D8</f>
        <v>0.20278764789919043</v>
      </c>
      <c r="V14" s="35"/>
      <c r="W14" s="32">
        <f>Semáforos!B8</f>
        <v>12198.13</v>
      </c>
      <c r="X14" s="28">
        <f>Semáforos!C8</f>
        <v>74576</v>
      </c>
      <c r="Y14" s="25">
        <f>Semáforos!D8</f>
        <v>0.1635664288779232</v>
      </c>
      <c r="Z14" s="35"/>
      <c r="AA14" s="29">
        <f>Eventuales!B8</f>
        <v>8634.38</v>
      </c>
      <c r="AB14" s="30">
        <f>Eventuales!C8</f>
        <v>47737</v>
      </c>
      <c r="AC14" s="25">
        <f>Eventuales!D8</f>
        <v>0.18087395521293753</v>
      </c>
      <c r="AD14" s="7"/>
      <c r="AE14" s="29">
        <f t="shared" si="4"/>
        <v>484878.16000000003</v>
      </c>
      <c r="AF14" s="30">
        <f>D14+H14+L14+P14+T14+Y14+AB14</f>
        <v>3081659.1635664287</v>
      </c>
      <c r="AG14" s="25">
        <f t="shared" si="3"/>
        <v>0.15734321489299508</v>
      </c>
      <c r="AH14" s="7"/>
    </row>
    <row r="15" spans="1:34" ht="14.25">
      <c r="A15" s="22" t="s">
        <v>23</v>
      </c>
      <c r="B15" s="31"/>
      <c r="C15" s="32"/>
      <c r="D15" s="33"/>
      <c r="E15" s="25"/>
      <c r="F15" s="34"/>
      <c r="G15" s="32">
        <f>'MEDIA TENSIÓN'!B8</f>
        <v>11596.9</v>
      </c>
      <c r="H15" s="24">
        <f>'MEDIA TENSIÓN'!C8</f>
        <v>57696</v>
      </c>
      <c r="I15" s="25">
        <f>'MEDIA TENSIÓN'!D8</f>
        <v>0.20100006932889627</v>
      </c>
      <c r="J15" s="35"/>
      <c r="K15" s="32"/>
      <c r="L15" s="24"/>
      <c r="M15" s="25"/>
      <c r="N15" s="35"/>
      <c r="O15" s="32"/>
      <c r="P15" s="28"/>
      <c r="Q15" s="25"/>
      <c r="R15" s="35"/>
      <c r="S15" s="32"/>
      <c r="T15" s="28"/>
      <c r="U15" s="25"/>
      <c r="V15" s="35"/>
      <c r="W15" s="32"/>
      <c r="X15" s="28"/>
      <c r="Y15" s="25"/>
      <c r="Z15" s="35"/>
      <c r="AA15" s="29"/>
      <c r="AB15" s="30"/>
      <c r="AC15" s="25"/>
      <c r="AD15" s="7"/>
      <c r="AE15" s="29">
        <f t="shared" si="4"/>
        <v>11596.9</v>
      </c>
      <c r="AF15" s="30">
        <f>D15+H15+L15+P15+T15+X15+AB15</f>
        <v>57696</v>
      </c>
      <c r="AG15" s="25">
        <f t="shared" si="3"/>
        <v>0.20100006932889627</v>
      </c>
      <c r="AH15" s="7"/>
    </row>
    <row r="16" spans="1:34" ht="14.25">
      <c r="A16" s="22" t="s">
        <v>24</v>
      </c>
      <c r="B16" s="31"/>
      <c r="C16" s="32">
        <f>'Alumbrado público'!B9</f>
        <v>261645.04</v>
      </c>
      <c r="D16" s="33">
        <f>'Alumbrado público'!C9</f>
        <v>2199014</v>
      </c>
      <c r="E16" s="25">
        <f>'Alumbrado público'!D9</f>
        <v>0.12393674619624978</v>
      </c>
      <c r="F16" s="34"/>
      <c r="G16" s="32">
        <f>Dependencias!B9</f>
        <v>24727.81</v>
      </c>
      <c r="H16" s="24">
        <f>Dependencias!C9</f>
        <v>759707</v>
      </c>
      <c r="I16" s="25">
        <f>Dependencias!D9</f>
        <v>0.0325491406555422</v>
      </c>
      <c r="J16" s="35"/>
      <c r="K16" s="32">
        <f>'C. Sociales'!B9</f>
        <v>73.5</v>
      </c>
      <c r="L16" s="24">
        <f>'C. Sociales'!C9</f>
        <v>76</v>
      </c>
      <c r="M16" s="25">
        <f>'C. Sociales'!D9</f>
        <v>0.9671052631578947</v>
      </c>
      <c r="N16" s="35"/>
      <c r="O16" s="32">
        <f>Colegios!B9</f>
        <v>8841.37</v>
      </c>
      <c r="P16" s="28">
        <f>Colegios!C9</f>
        <v>197780</v>
      </c>
      <c r="Q16" s="25">
        <f>Colegios!D9</f>
        <v>0.04470305389827081</v>
      </c>
      <c r="R16" s="35"/>
      <c r="S16" s="32">
        <f>Mercados!B9</f>
        <v>10496.65</v>
      </c>
      <c r="T16" s="28">
        <f>Mercados!C9</f>
        <v>57876</v>
      </c>
      <c r="U16" s="25">
        <f>Mercados!D9</f>
        <v>0.18136446886446886</v>
      </c>
      <c r="V16" s="35"/>
      <c r="W16" s="32">
        <f>Semáforos!B9</f>
        <v>10092.52</v>
      </c>
      <c r="X16" s="28">
        <f>Semáforos!C9</f>
        <v>60314</v>
      </c>
      <c r="Y16" s="25">
        <f>Semáforos!D9</f>
        <v>0.16733295752229996</v>
      </c>
      <c r="Z16" s="35"/>
      <c r="AA16" s="29">
        <f>Eventuales!B9</f>
        <v>99820.66</v>
      </c>
      <c r="AB16" s="30">
        <f>Eventuales!C9</f>
        <v>645373</v>
      </c>
      <c r="AC16" s="25">
        <f>Eventuales!D9</f>
        <v>0.15467126762352934</v>
      </c>
      <c r="AD16" s="7"/>
      <c r="AE16" s="29">
        <f t="shared" si="4"/>
        <v>415697.55000000005</v>
      </c>
      <c r="AF16" s="30">
        <f>D16+H16+L16+P16+T16+Y16+AB16</f>
        <v>3859826.1673329575</v>
      </c>
      <c r="AG16" s="25">
        <f t="shared" si="3"/>
        <v>0.10769851593789172</v>
      </c>
      <c r="AH16" s="7"/>
    </row>
    <row r="17" spans="1:34" ht="14.25">
      <c r="A17" s="22" t="s">
        <v>25</v>
      </c>
      <c r="B17" s="31"/>
      <c r="C17" s="32"/>
      <c r="D17" s="33"/>
      <c r="E17" s="25"/>
      <c r="F17" s="34"/>
      <c r="G17" s="32">
        <f>'MEDIA TENSIÓN'!B9</f>
        <v>10793.13</v>
      </c>
      <c r="H17" s="24">
        <f>'MEDIA TENSIÓN'!C9</f>
        <v>56629</v>
      </c>
      <c r="I17" s="25">
        <f>'MEDIA TENSIÓN'!D9</f>
        <v>0.19059368874604882</v>
      </c>
      <c r="J17" s="35"/>
      <c r="K17" s="32"/>
      <c r="L17" s="24"/>
      <c r="M17" s="25"/>
      <c r="N17" s="35"/>
      <c r="O17" s="32"/>
      <c r="P17" s="28"/>
      <c r="Q17" s="25"/>
      <c r="R17" s="35"/>
      <c r="S17" s="32"/>
      <c r="T17" s="28"/>
      <c r="U17" s="25"/>
      <c r="V17" s="35"/>
      <c r="W17" s="32"/>
      <c r="X17" s="28"/>
      <c r="Y17" s="25"/>
      <c r="Z17" s="35"/>
      <c r="AA17" s="29"/>
      <c r="AB17" s="30"/>
      <c r="AC17" s="25"/>
      <c r="AD17" s="7"/>
      <c r="AE17" s="29">
        <f t="shared" si="4"/>
        <v>10793.13</v>
      </c>
      <c r="AF17" s="30">
        <f>D17+H17+L17+P17+T17+X17+AB17</f>
        <v>56629</v>
      </c>
      <c r="AG17" s="25">
        <f t="shared" si="3"/>
        <v>0.19059368874604882</v>
      </c>
      <c r="AH17" s="7"/>
    </row>
    <row r="18" spans="1:34" ht="14.25">
      <c r="A18" s="22" t="s">
        <v>26</v>
      </c>
      <c r="B18" s="31"/>
      <c r="C18" s="32">
        <f>'Alumbrado público'!B10</f>
        <v>304284.83999999997</v>
      </c>
      <c r="D18" s="33">
        <f>'Alumbrado público'!C10</f>
        <v>2323527</v>
      </c>
      <c r="E18" s="25">
        <f>'Alumbrado público'!D10</f>
        <v>0.13095816833632662</v>
      </c>
      <c r="F18" s="34"/>
      <c r="G18" s="32">
        <f>Dependencias!B10</f>
        <v>154279.23</v>
      </c>
      <c r="H18" s="24">
        <f>Dependencias!C10</f>
        <v>869176</v>
      </c>
      <c r="I18" s="25">
        <f>Dependencias!D10</f>
        <v>0.17750056375233556</v>
      </c>
      <c r="J18" s="35"/>
      <c r="K18" s="32">
        <f>'C. Sociales'!B10</f>
        <v>54829.15</v>
      </c>
      <c r="L18" s="24">
        <f>'C. Sociales'!C10</f>
        <v>237987</v>
      </c>
      <c r="M18" s="25">
        <f>'C. Sociales'!D10</f>
        <v>0.23038716400475656</v>
      </c>
      <c r="N18" s="35"/>
      <c r="O18" s="32">
        <f>Colegios!B10</f>
        <v>36068.93</v>
      </c>
      <c r="P18" s="28">
        <f>Colegios!C10</f>
        <v>110043</v>
      </c>
      <c r="Q18" s="25">
        <f>Colegios!D10</f>
        <v>0.3277712348809102</v>
      </c>
      <c r="R18" s="35"/>
      <c r="S18" s="32">
        <f>Mercados!B10</f>
        <v>7537.56</v>
      </c>
      <c r="T18" s="28">
        <f>Mercados!C10</f>
        <v>42364</v>
      </c>
      <c r="U18" s="25">
        <f>Mercados!D10</f>
        <v>0.17792370880936645</v>
      </c>
      <c r="V18" s="35"/>
      <c r="W18" s="32">
        <f>Semáforos!B10</f>
        <v>13203.609999999999</v>
      </c>
      <c r="X18" s="28">
        <f>Semáforos!C10</f>
        <v>80013</v>
      </c>
      <c r="Y18" s="25">
        <f>Semáforos!D10</f>
        <v>0.16501830952470223</v>
      </c>
      <c r="Z18" s="35"/>
      <c r="AA18" s="29">
        <f>Eventuales!B10</f>
        <v>2685.89</v>
      </c>
      <c r="AB18" s="30">
        <v>0</v>
      </c>
      <c r="AC18" s="25">
        <f>Eventuales!D10</f>
        <v>0</v>
      </c>
      <c r="AD18" s="7"/>
      <c r="AE18" s="29">
        <f t="shared" si="4"/>
        <v>572889.2100000001</v>
      </c>
      <c r="AF18" s="30">
        <f aca="true" t="shared" si="5" ref="AF18:AF20">D18+H18+L18+P18+T18+Y18+AB18</f>
        <v>3583097.1650183094</v>
      </c>
      <c r="AG18" s="25">
        <f t="shared" si="3"/>
        <v>0.1598865963203855</v>
      </c>
      <c r="AH18" s="7"/>
    </row>
    <row r="19" spans="1:34" ht="14.25">
      <c r="A19" s="22" t="s">
        <v>27</v>
      </c>
      <c r="B19" s="31"/>
      <c r="C19" s="32"/>
      <c r="D19" s="33"/>
      <c r="E19" s="25"/>
      <c r="F19" s="34"/>
      <c r="G19" s="32">
        <f>'MEDIA TENSIÓN'!B10</f>
        <v>10793.13</v>
      </c>
      <c r="H19" s="24">
        <f>'MEDIA TENSIÓN'!C10</f>
        <v>57347</v>
      </c>
      <c r="I19" s="25">
        <f>'MEDIA TENSIÓN'!D10</f>
        <v>0.1882074040490348</v>
      </c>
      <c r="J19" s="35"/>
      <c r="K19" s="32"/>
      <c r="L19" s="24"/>
      <c r="M19" s="25"/>
      <c r="N19" s="35"/>
      <c r="O19" s="32"/>
      <c r="P19" s="28"/>
      <c r="Q19" s="25"/>
      <c r="R19" s="35"/>
      <c r="S19" s="32"/>
      <c r="T19" s="28"/>
      <c r="U19" s="25"/>
      <c r="V19" s="35"/>
      <c r="W19" s="32"/>
      <c r="X19" s="28"/>
      <c r="Y19" s="25"/>
      <c r="Z19" s="35"/>
      <c r="AA19" s="29"/>
      <c r="AB19" s="30"/>
      <c r="AC19" s="25"/>
      <c r="AD19" s="7"/>
      <c r="AE19" s="29">
        <f t="shared" si="4"/>
        <v>10793.13</v>
      </c>
      <c r="AF19" s="30">
        <f t="shared" si="5"/>
        <v>57347</v>
      </c>
      <c r="AG19" s="25">
        <f t="shared" si="3"/>
        <v>0.1882074040490348</v>
      </c>
      <c r="AH19" s="7"/>
    </row>
    <row r="20" spans="1:34" ht="14.25">
      <c r="A20" s="22" t="s">
        <v>28</v>
      </c>
      <c r="B20" s="31"/>
      <c r="C20" s="32">
        <f>'Alumbrado público'!B11</f>
        <v>324037.46</v>
      </c>
      <c r="D20" s="33">
        <f>'Alumbrado público'!C11</f>
        <v>2527785</v>
      </c>
      <c r="E20" s="25">
        <f>'Alumbrado público'!D11</f>
        <v>0.1281902772585485</v>
      </c>
      <c r="F20" s="34"/>
      <c r="G20" s="32">
        <f>Dependencias!B11</f>
        <v>167163.09000000003</v>
      </c>
      <c r="H20" s="24">
        <f>Dependencias!C11</f>
        <v>926871</v>
      </c>
      <c r="I20" s="25">
        <f>Dependencias!D11</f>
        <v>0.180352055464029</v>
      </c>
      <c r="J20" s="35"/>
      <c r="K20" s="32">
        <f>'C. Sociales'!B11</f>
        <v>39785.229999999996</v>
      </c>
      <c r="L20" s="24">
        <f>'C. Sociales'!C11</f>
        <v>179764</v>
      </c>
      <c r="M20" s="25">
        <f>'C. Sociales'!D11</f>
        <v>0.22131922965666093</v>
      </c>
      <c r="N20" s="35"/>
      <c r="O20" s="32">
        <f>Colegios!B11</f>
        <v>42481.22</v>
      </c>
      <c r="P20" s="28">
        <f>Colegios!C11</f>
        <v>152040</v>
      </c>
      <c r="Q20" s="25">
        <f>Colegios!D11</f>
        <v>0.27940818205735335</v>
      </c>
      <c r="R20" s="35"/>
      <c r="S20" s="32">
        <f>Mercados!B11</f>
        <v>11333.17</v>
      </c>
      <c r="T20" s="28">
        <f>Mercados!C11</f>
        <v>63632</v>
      </c>
      <c r="U20" s="25">
        <f>Mercados!D11</f>
        <v>0.17810488433492583</v>
      </c>
      <c r="V20" s="35"/>
      <c r="W20" s="32">
        <f>Semáforos!B11</f>
        <v>9844.72</v>
      </c>
      <c r="X20" s="28">
        <f>Semáforos!C11</f>
        <v>58360</v>
      </c>
      <c r="Y20" s="25">
        <f>Semáforos!D11</f>
        <v>0.1686895133653187</v>
      </c>
      <c r="Z20" s="35"/>
      <c r="AA20" s="29">
        <f>Eventuales!B11</f>
        <v>1482.48</v>
      </c>
      <c r="AB20" s="30">
        <f>Eventuales!C11</f>
        <v>9331</v>
      </c>
      <c r="AC20" s="25">
        <f>Eventuales!D11</f>
        <v>0.15887686207266102</v>
      </c>
      <c r="AD20" s="7"/>
      <c r="AE20" s="29">
        <f t="shared" si="4"/>
        <v>596127.37</v>
      </c>
      <c r="AF20" s="30">
        <f t="shared" si="5"/>
        <v>3859423.1686895136</v>
      </c>
      <c r="AG20" s="25">
        <f t="shared" si="3"/>
        <v>0.1544602247393405</v>
      </c>
      <c r="AH20" s="7"/>
    </row>
    <row r="21" spans="1:34" ht="14.25">
      <c r="A21" s="22" t="s">
        <v>29</v>
      </c>
      <c r="B21" s="31"/>
      <c r="C21" s="32"/>
      <c r="D21" s="33"/>
      <c r="E21" s="25"/>
      <c r="F21" s="34"/>
      <c r="G21" s="32">
        <f>'MEDIA TENSIÓN'!B11</f>
        <v>9455.04</v>
      </c>
      <c r="H21" s="24">
        <f>'MEDIA TENSIÓN'!C11</f>
        <v>51118</v>
      </c>
      <c r="I21" s="25">
        <f>'MEDIA TENSIÓN'!D11</f>
        <v>0.1849649829805548</v>
      </c>
      <c r="J21" s="35"/>
      <c r="K21" s="32"/>
      <c r="L21" s="24"/>
      <c r="M21" s="25"/>
      <c r="N21" s="35"/>
      <c r="O21" s="32"/>
      <c r="P21" s="28"/>
      <c r="Q21" s="25"/>
      <c r="R21" s="35"/>
      <c r="S21" s="32"/>
      <c r="T21" s="28"/>
      <c r="U21" s="25"/>
      <c r="V21" s="35"/>
      <c r="W21" s="32"/>
      <c r="X21" s="28"/>
      <c r="Y21" s="25"/>
      <c r="Z21" s="35"/>
      <c r="AA21" s="29"/>
      <c r="AB21" s="30"/>
      <c r="AC21" s="25"/>
      <c r="AD21" s="7"/>
      <c r="AE21" s="29">
        <f t="shared" si="4"/>
        <v>9455.04</v>
      </c>
      <c r="AF21" s="30">
        <f>D21+H21+L21+P21+T21+X21+AB21</f>
        <v>51118</v>
      </c>
      <c r="AG21" s="25">
        <f t="shared" si="3"/>
        <v>0.1849649829805548</v>
      </c>
      <c r="AH21" s="7"/>
    </row>
    <row r="22" spans="1:34" ht="14.25">
      <c r="A22" s="22" t="s">
        <v>30</v>
      </c>
      <c r="B22" s="31"/>
      <c r="C22" s="32">
        <f>'Alumbrado público'!B12</f>
        <v>284804.99</v>
      </c>
      <c r="D22" s="33">
        <f>'Alumbrado público'!C12</f>
        <v>2176864</v>
      </c>
      <c r="E22" s="25">
        <f>'Alumbrado público'!D12</f>
        <v>0.13083269786261337</v>
      </c>
      <c r="F22" s="34"/>
      <c r="G22" s="32">
        <f>Dependencias!B12</f>
        <v>120313.83</v>
      </c>
      <c r="H22" s="24">
        <f>Dependencias!C12</f>
        <v>642149</v>
      </c>
      <c r="I22" s="25">
        <f>Dependencias!D12</f>
        <v>0.18736123547650158</v>
      </c>
      <c r="J22" s="35"/>
      <c r="K22" s="32">
        <f>'C. Sociales'!B12</f>
        <v>40663.36</v>
      </c>
      <c r="L22" s="36">
        <f>'C. Sociales'!C12</f>
        <v>182430</v>
      </c>
      <c r="M22" s="25">
        <f>'C. Sociales'!D12</f>
        <v>0.22289842679383873</v>
      </c>
      <c r="N22" s="35"/>
      <c r="O22" s="32">
        <f>Colegios!B12</f>
        <v>63477.86</v>
      </c>
      <c r="P22" s="28">
        <f>Colegios!C12</f>
        <v>276371</v>
      </c>
      <c r="Q22" s="25">
        <f>Colegios!D12</f>
        <v>0.22968350514344849</v>
      </c>
      <c r="R22" s="35"/>
      <c r="S22" s="32">
        <f>Mercados!B12</f>
        <v>6706.24</v>
      </c>
      <c r="T22" s="28">
        <f>Mercados!C12</f>
        <v>35012</v>
      </c>
      <c r="U22" s="25">
        <f>Mercados!D12</f>
        <v>0.19154118587912716</v>
      </c>
      <c r="V22" s="35"/>
      <c r="W22" s="32">
        <f>Semáforos!B12</f>
        <v>11769.910000000002</v>
      </c>
      <c r="X22" s="28">
        <f>Semáforos!C12</f>
        <v>72148</v>
      </c>
      <c r="Y22" s="25">
        <f>Semáforos!D12</f>
        <v>0.16313563785551924</v>
      </c>
      <c r="Z22" s="35"/>
      <c r="AA22" s="29">
        <f>Eventuales!B12</f>
        <v>21.68</v>
      </c>
      <c r="AB22" s="30">
        <f>Eventuales!C12</f>
        <v>11</v>
      </c>
      <c r="AC22" s="25">
        <f>Eventuales!D12</f>
        <v>1.970909090909091</v>
      </c>
      <c r="AD22" s="7"/>
      <c r="AE22" s="29">
        <f t="shared" si="4"/>
        <v>527757.87</v>
      </c>
      <c r="AF22" s="30">
        <f>D22+H22+L22+P22+T22+Y22+AB22</f>
        <v>3312837.163135638</v>
      </c>
      <c r="AG22" s="25">
        <f t="shared" si="3"/>
        <v>0.1593069154961034</v>
      </c>
      <c r="AH22" s="7"/>
    </row>
    <row r="23" spans="1:34" ht="14.25">
      <c r="A23" s="22" t="s">
        <v>31</v>
      </c>
      <c r="B23" s="31"/>
      <c r="C23" s="32"/>
      <c r="D23" s="33"/>
      <c r="E23" s="25"/>
      <c r="F23" s="34"/>
      <c r="G23" s="32">
        <f>'MEDIA TENSIÓN'!B12</f>
        <v>10350.04</v>
      </c>
      <c r="H23" s="24">
        <f>'MEDIA TENSIÓN'!C12</f>
        <v>51148</v>
      </c>
      <c r="I23" s="25">
        <f>'MEDIA TENSIÓN'!D12</f>
        <v>0.20235473527801676</v>
      </c>
      <c r="J23" s="35"/>
      <c r="K23" s="32"/>
      <c r="L23" s="24"/>
      <c r="M23" s="25"/>
      <c r="N23" s="35"/>
      <c r="O23" s="32"/>
      <c r="P23" s="28"/>
      <c r="Q23" s="25"/>
      <c r="R23" s="35"/>
      <c r="S23" s="32"/>
      <c r="T23" s="28"/>
      <c r="U23" s="25"/>
      <c r="V23" s="35"/>
      <c r="W23" s="32"/>
      <c r="X23" s="28"/>
      <c r="Y23" s="25"/>
      <c r="Z23" s="35"/>
      <c r="AA23" s="29"/>
      <c r="AB23" s="30"/>
      <c r="AC23" s="25"/>
      <c r="AD23" s="7"/>
      <c r="AE23" s="29">
        <f t="shared" si="4"/>
        <v>10350.04</v>
      </c>
      <c r="AF23" s="30">
        <f aca="true" t="shared" si="6" ref="AF23:AF24">D23+H23+L23+P23+T23+X23+AB23</f>
        <v>51148</v>
      </c>
      <c r="AG23" s="25">
        <f t="shared" si="3"/>
        <v>0.20235473527801676</v>
      </c>
      <c r="AH23" s="7"/>
    </row>
    <row r="24" spans="1:34" ht="14.25">
      <c r="A24" s="22" t="s">
        <v>32</v>
      </c>
      <c r="B24" s="31"/>
      <c r="C24" s="32">
        <f>'Alumbrado público'!B13</f>
        <v>481706.55</v>
      </c>
      <c r="D24" s="33">
        <f>'Alumbrado público'!C13</f>
        <v>3512466</v>
      </c>
      <c r="E24" s="25">
        <f>'Alumbrado público'!D13</f>
        <v>0.13714198229961513</v>
      </c>
      <c r="F24" s="34"/>
      <c r="G24" s="32">
        <f>Dependencias!B13</f>
        <v>97578.70999999999</v>
      </c>
      <c r="H24" s="24">
        <f>Dependencias!C13</f>
        <v>825957</v>
      </c>
      <c r="I24" s="25">
        <f>Dependencias!D13</f>
        <v>0.11814018163173143</v>
      </c>
      <c r="J24" s="35"/>
      <c r="K24" s="32">
        <f>'C. Sociales'!B13</f>
        <v>33198.53</v>
      </c>
      <c r="L24" s="36">
        <f>'C. Sociales'!C13</f>
        <v>132557</v>
      </c>
      <c r="M24" s="25">
        <f>'C. Sociales'!D13</f>
        <v>0.2504472038443839</v>
      </c>
      <c r="N24" s="35"/>
      <c r="O24" s="32">
        <f>Colegios!B13</f>
        <v>69930.01000000001</v>
      </c>
      <c r="P24" s="28">
        <f>Colegios!C13</f>
        <v>423608</v>
      </c>
      <c r="Q24" s="25">
        <f>Colegios!D13</f>
        <v>0.1650818917489755</v>
      </c>
      <c r="R24" s="35"/>
      <c r="S24" s="32">
        <f>Mercados!B13</f>
        <v>8505.27</v>
      </c>
      <c r="T24" s="28">
        <f>Mercados!C13</f>
        <v>44335</v>
      </c>
      <c r="U24" s="25">
        <f>Mercados!D13</f>
        <v>0.19184098342167588</v>
      </c>
      <c r="V24" s="35"/>
      <c r="W24" s="32">
        <f>Semáforos!B13</f>
        <v>11408.97</v>
      </c>
      <c r="X24" s="28">
        <f>Semáforos!C13</f>
        <v>66216</v>
      </c>
      <c r="Y24" s="25">
        <f>Semáforos!D13</f>
        <v>0.17229929322218193</v>
      </c>
      <c r="Z24" s="35"/>
      <c r="AA24" s="29">
        <f>Eventuales!B13</f>
        <v>19931.74</v>
      </c>
      <c r="AB24" s="30">
        <f>Eventuales!C13</f>
        <v>159020</v>
      </c>
      <c r="AC24" s="25">
        <f>Eventuales!D13</f>
        <v>0.12534108917117345</v>
      </c>
      <c r="AD24" s="7"/>
      <c r="AE24" s="29">
        <f t="shared" si="4"/>
        <v>722259.78</v>
      </c>
      <c r="AF24" s="30">
        <f t="shared" si="6"/>
        <v>5164159</v>
      </c>
      <c r="AG24" s="25">
        <f t="shared" si="3"/>
        <v>0.13986009725881796</v>
      </c>
      <c r="AH24" s="7"/>
    </row>
    <row r="25" spans="1:34" ht="14.25">
      <c r="A25" s="22" t="s">
        <v>33</v>
      </c>
      <c r="B25" s="31"/>
      <c r="C25" s="32"/>
      <c r="D25" s="33"/>
      <c r="E25" s="25"/>
      <c r="F25" s="34"/>
      <c r="G25" s="32"/>
      <c r="H25" s="24"/>
      <c r="I25" s="25"/>
      <c r="J25" s="35"/>
      <c r="K25" s="32"/>
      <c r="L25" s="24"/>
      <c r="M25" s="25"/>
      <c r="N25" s="35"/>
      <c r="O25" s="32"/>
      <c r="P25" s="28"/>
      <c r="Q25" s="25"/>
      <c r="R25" s="35"/>
      <c r="S25" s="32"/>
      <c r="T25" s="28"/>
      <c r="U25" s="25"/>
      <c r="V25" s="35"/>
      <c r="W25" s="32"/>
      <c r="X25" s="28"/>
      <c r="Y25" s="25"/>
      <c r="Z25" s="35"/>
      <c r="AA25" s="29"/>
      <c r="AB25" s="30"/>
      <c r="AC25" s="25"/>
      <c r="AD25" s="7"/>
      <c r="AE25" s="29">
        <f>'MEDIA TENSIÓN'!B13</f>
        <v>10260.07</v>
      </c>
      <c r="AF25" s="30">
        <f>'MEDIA TENSIÓN'!C13</f>
        <v>57671</v>
      </c>
      <c r="AG25" s="25">
        <f>'MEDIA TENSIÓN'!D13</f>
        <v>0.1779069202892268</v>
      </c>
      <c r="AH25" s="7"/>
    </row>
    <row r="26" spans="1:34" ht="14.25">
      <c r="A26" s="22" t="s">
        <v>34</v>
      </c>
      <c r="B26" s="31"/>
      <c r="C26" s="37">
        <f>'Alumbrado público'!B14</f>
        <v>392592.25</v>
      </c>
      <c r="D26" s="38">
        <f>'Alumbrado público'!C14</f>
        <v>2771654</v>
      </c>
      <c r="E26" s="25">
        <f>'Alumbrado público'!D14</f>
        <v>0.14164547595046134</v>
      </c>
      <c r="F26" s="34"/>
      <c r="G26" s="32">
        <f>Dependencias!B14</f>
        <v>99949.5</v>
      </c>
      <c r="H26" s="24">
        <f>Dependencias!C14</f>
        <v>521191</v>
      </c>
      <c r="I26" s="25">
        <f>Dependencias!D14</f>
        <v>0.19177134678073873</v>
      </c>
      <c r="J26" s="35"/>
      <c r="K26" s="32">
        <f>'C. Sociales'!B14</f>
        <v>39253.01</v>
      </c>
      <c r="L26" s="24">
        <f>'C. Sociales'!C14</f>
        <v>173076</v>
      </c>
      <c r="M26" s="25">
        <f>'C. Sociales'!D14</f>
        <v>0.22679637846957407</v>
      </c>
      <c r="N26" s="35"/>
      <c r="O26" s="32">
        <f>Colegios!B14</f>
        <v>77290.95000000001</v>
      </c>
      <c r="P26" s="28">
        <f>Colegios!C14</f>
        <v>400749</v>
      </c>
      <c r="Q26" s="25">
        <f>Colegios!D14</f>
        <v>0.19286623297874733</v>
      </c>
      <c r="R26" s="35"/>
      <c r="S26" s="32">
        <f>Mercados!B14</f>
        <v>4030.64</v>
      </c>
      <c r="T26" s="28">
        <f>Mercados!C14</f>
        <v>18239</v>
      </c>
      <c r="U26" s="25">
        <f>Mercados!D14</f>
        <v>0.22099018586545313</v>
      </c>
      <c r="V26" s="35"/>
      <c r="W26" s="32">
        <f>Semáforos!B14</f>
        <v>12471.58</v>
      </c>
      <c r="X26" s="28">
        <f>Semáforos!C14</f>
        <v>76591</v>
      </c>
      <c r="Y26" s="25">
        <f>Semáforos!D14</f>
        <v>0.16283349218576595</v>
      </c>
      <c r="Z26" s="35"/>
      <c r="AA26" s="29">
        <f>Eventuales!B14</f>
        <v>10934.64</v>
      </c>
      <c r="AB26" s="30">
        <f>Eventuales!C14</f>
        <v>60973</v>
      </c>
      <c r="AC26" s="25">
        <f>Eventuales!D14</f>
        <v>0.17933577157102323</v>
      </c>
      <c r="AD26" s="7"/>
      <c r="AE26" s="29">
        <f>C26+G26+K26+O26+S26+W26+AA26</f>
        <v>636522.57</v>
      </c>
      <c r="AF26" s="30">
        <f>D26+H26+L26+P26+T26+X26+AB26</f>
        <v>4022473</v>
      </c>
      <c r="AG26" s="25">
        <f aca="true" t="shared" si="7" ref="AG26:AG28">AE26/AF26</f>
        <v>0.15824160162168893</v>
      </c>
      <c r="AH26" s="7"/>
    </row>
    <row r="27" spans="1:34" ht="14.25">
      <c r="A27" s="22" t="s">
        <v>35</v>
      </c>
      <c r="B27" s="31"/>
      <c r="C27" s="32"/>
      <c r="D27" s="33"/>
      <c r="E27" s="25"/>
      <c r="F27" s="34"/>
      <c r="G27" s="32"/>
      <c r="H27" s="24"/>
      <c r="I27" s="25"/>
      <c r="J27" s="35"/>
      <c r="K27" s="32"/>
      <c r="L27" s="24"/>
      <c r="M27" s="25"/>
      <c r="N27" s="35"/>
      <c r="O27" s="32"/>
      <c r="P27" s="28"/>
      <c r="Q27" s="25"/>
      <c r="R27" s="35"/>
      <c r="S27" s="32"/>
      <c r="T27" s="28"/>
      <c r="U27" s="25"/>
      <c r="V27" s="35"/>
      <c r="W27" s="32"/>
      <c r="X27" s="28"/>
      <c r="Y27" s="25"/>
      <c r="Z27" s="35"/>
      <c r="AA27" s="29"/>
      <c r="AB27" s="30"/>
      <c r="AC27" s="25"/>
      <c r="AD27" s="7"/>
      <c r="AE27" s="29">
        <f>'MEDIA TENSIÓN'!B14</f>
        <v>12531.65</v>
      </c>
      <c r="AF27" s="30">
        <f>'MEDIA TENSIÓN'!C14</f>
        <v>75112</v>
      </c>
      <c r="AG27" s="25">
        <f t="shared" si="7"/>
        <v>0.16683951965065502</v>
      </c>
      <c r="AH27" s="7"/>
    </row>
    <row r="28" spans="1:33" s="39" customFormat="1" ht="13.5">
      <c r="A28" s="39" t="s">
        <v>36</v>
      </c>
      <c r="C28" s="40">
        <f>SUM(C4:C26)</f>
        <v>4364498.05</v>
      </c>
      <c r="D28" s="41">
        <f>SUM(D4:D26)</f>
        <v>32061936</v>
      </c>
      <c r="E28" s="42">
        <f>C28/D28</f>
        <v>0.13612709007965082</v>
      </c>
      <c r="F28" s="43"/>
      <c r="G28" s="44">
        <f>SUM(G4:G27)</f>
        <v>1405749.7100000002</v>
      </c>
      <c r="H28" s="41">
        <f>SUM(H4:H27)</f>
        <v>8500806</v>
      </c>
      <c r="I28" s="45">
        <f>G28/H28</f>
        <v>0.1653666381752507</v>
      </c>
      <c r="J28" s="43"/>
      <c r="K28" s="44">
        <f>SUM(K4:K26)</f>
        <v>413094.03</v>
      </c>
      <c r="L28" s="46">
        <f>SUM(L4:L26)</f>
        <v>1773461</v>
      </c>
      <c r="M28" s="47">
        <f>K28/L28</f>
        <v>0.23293099199813247</v>
      </c>
      <c r="N28" s="44"/>
      <c r="O28" s="44">
        <f>SUM(O4:O26)</f>
        <v>793903.29</v>
      </c>
      <c r="P28" s="46">
        <f>SUM(P4:P26)</f>
        <v>4057164</v>
      </c>
      <c r="Q28" s="47">
        <f>O28/P28</f>
        <v>0.1956793686427268</v>
      </c>
      <c r="R28" s="44"/>
      <c r="S28" s="44">
        <f>SUM(S4:S26)</f>
        <v>85156.87999999999</v>
      </c>
      <c r="T28" s="46">
        <f>SUM(T4:T26)</f>
        <v>438488</v>
      </c>
      <c r="U28" s="47">
        <f>S28/T28</f>
        <v>0.1942057251281677</v>
      </c>
      <c r="V28" s="44"/>
      <c r="W28" s="48">
        <f>SUM(W4:W26)</f>
        <v>148180.92</v>
      </c>
      <c r="X28" s="46">
        <f>SUM(X4:X26)</f>
        <v>890430</v>
      </c>
      <c r="Y28" s="47">
        <f>W28/X28</f>
        <v>0.1664150129712611</v>
      </c>
      <c r="Z28" s="44"/>
      <c r="AA28" s="49">
        <f>SUM(AA4:AA27)</f>
        <v>145685.7</v>
      </c>
      <c r="AB28" s="50">
        <f>SUM(AB4:AB27)</f>
        <v>934804</v>
      </c>
      <c r="AC28" s="47">
        <f>AA28/AB28</f>
        <v>0.15584625226250637</v>
      </c>
      <c r="AE28" s="49">
        <f>SUM(AE4:AE27)</f>
        <v>7358793.050000002</v>
      </c>
      <c r="AF28" s="50">
        <f>SUM(AF4:AF27)</f>
        <v>48186201.336055875</v>
      </c>
      <c r="AG28" s="47">
        <f t="shared" si="7"/>
        <v>0.15271577434956884</v>
      </c>
    </row>
    <row r="29" spans="3:33" ht="14.25">
      <c r="C29" s="51">
        <f>C28/$AE$28</f>
        <v>0.5930997135460956</v>
      </c>
      <c r="D29" s="51">
        <f>D28/$AF$28</f>
        <v>0.665375877554583</v>
      </c>
      <c r="E29" s="51">
        <f>E28/$AG$28</f>
        <v>0.8913754368822028</v>
      </c>
      <c r="G29" s="51">
        <f>G28/$AE$28</f>
        <v>0.19102992847447992</v>
      </c>
      <c r="H29" s="51">
        <f>H28/$AF$28</f>
        <v>0.17641577389996865</v>
      </c>
      <c r="I29" s="52">
        <f>I28/$AG$28</f>
        <v>1.0828392736740073</v>
      </c>
      <c r="K29" s="51">
        <f>K28/$AE$28</f>
        <v>0.05613611188590226</v>
      </c>
      <c r="L29" s="51">
        <f>L28/$AF$28</f>
        <v>0.03680433300047222</v>
      </c>
      <c r="M29" s="52">
        <f>M28/$AG$28</f>
        <v>1.5252582320995192</v>
      </c>
      <c r="O29" s="51">
        <f>O28/$AE$28</f>
        <v>0.10788498665552225</v>
      </c>
      <c r="P29" s="51">
        <f>P28/$AF$28</f>
        <v>0.08419763101276424</v>
      </c>
      <c r="Q29" s="52">
        <f>Q28/$AG$28</f>
        <v>1.2813304288711762</v>
      </c>
      <c r="S29" s="51">
        <f>S28/$AE$28</f>
        <v>0.01157212594801806</v>
      </c>
      <c r="T29" s="51">
        <f>T28/$AF$28</f>
        <v>0.009099866514522206</v>
      </c>
      <c r="U29" s="52">
        <f>U28/$AG$28</f>
        <v>1.271680846037736</v>
      </c>
      <c r="W29" s="51">
        <f>W28/$AE$28</f>
        <v>0.020136579326687273</v>
      </c>
      <c r="X29" s="51">
        <f>X28/$AF$28</f>
        <v>0.018478941591391344</v>
      </c>
      <c r="Y29" s="52">
        <f>Y28/$AG$28</f>
        <v>1.0897041492932777</v>
      </c>
      <c r="AA29" s="51">
        <f>AA28/$AE$28</f>
        <v>0.019797499265181807</v>
      </c>
      <c r="AB29" s="51">
        <f>AB28/$AF$28</f>
        <v>0.019399827628672657</v>
      </c>
      <c r="AC29" s="52">
        <f>AC28/$AG$28</f>
        <v>1.0204987200979763</v>
      </c>
      <c r="AE29" s="51">
        <f>AE28/$AE$28</f>
        <v>1</v>
      </c>
      <c r="AF29" s="51">
        <f>AF28/$AF$28</f>
        <v>1</v>
      </c>
      <c r="AG29" s="52">
        <f>AG28/$AG$28</f>
        <v>1</v>
      </c>
    </row>
    <row r="30" spans="1:2" ht="14.25">
      <c r="A30" s="53" t="s">
        <v>37</v>
      </c>
      <c r="B30" s="53"/>
    </row>
  </sheetData>
  <sheetProtection selectLockedCells="1" selectUnlockedCells="1"/>
  <mergeCells count="7">
    <mergeCell ref="G2:H2"/>
    <mergeCell ref="K2:L2"/>
    <mergeCell ref="O2:P2"/>
    <mergeCell ref="S2:T2"/>
    <mergeCell ref="W2:Y2"/>
    <mergeCell ref="AA2:AC2"/>
    <mergeCell ref="AE2:AG2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4" sqref="C14"/>
    </sheetView>
  </sheetViews>
  <sheetFormatPr defaultColWidth="10.28125" defaultRowHeight="12.75"/>
  <cols>
    <col min="1" max="1" width="17.00390625" style="0" customWidth="1"/>
    <col min="2" max="2" width="17.57421875" style="0" customWidth="1"/>
    <col min="3" max="16384" width="11.57421875" style="0" customWidth="1"/>
  </cols>
  <sheetData>
    <row r="1" spans="1:4" ht="16.5">
      <c r="A1" s="55"/>
      <c r="B1" s="71" t="s">
        <v>50</v>
      </c>
      <c r="C1" s="71"/>
      <c r="D1" s="73"/>
    </row>
    <row r="2" spans="1:4" ht="16.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13025.98</f>
        <v>13025.98</v>
      </c>
      <c r="C3" s="62">
        <f>13724+19994+34161</f>
        <v>67879</v>
      </c>
      <c r="D3" s="63">
        <f aca="true" t="shared" si="0" ref="D3:D15">B3/C3</f>
        <v>0.19189999852679032</v>
      </c>
    </row>
    <row r="4" spans="1:4" ht="16.5">
      <c r="A4" s="60" t="s">
        <v>40</v>
      </c>
      <c r="B4" s="77">
        <v>13247.95</v>
      </c>
      <c r="C4" s="78">
        <f>14931+22252+27517</f>
        <v>64700</v>
      </c>
      <c r="D4" s="63">
        <f t="shared" si="0"/>
        <v>0.2047596599690881</v>
      </c>
    </row>
    <row r="5" spans="1:4" ht="16.5">
      <c r="A5" s="60" t="s">
        <v>16</v>
      </c>
      <c r="B5" s="61">
        <v>10636.57</v>
      </c>
      <c r="C5" s="62">
        <f>8326+20861+19021</f>
        <v>48208</v>
      </c>
      <c r="D5" s="63">
        <f t="shared" si="0"/>
        <v>0.2206391055426485</v>
      </c>
    </row>
    <row r="6" spans="1:4" ht="16.5">
      <c r="A6" s="60" t="s">
        <v>41</v>
      </c>
      <c r="B6" s="61">
        <f>9220.9</f>
        <v>9220.9</v>
      </c>
      <c r="C6" s="62">
        <f>20776+15907</f>
        <v>36683</v>
      </c>
      <c r="D6" s="63">
        <f t="shared" si="0"/>
        <v>0.25136711828367364</v>
      </c>
    </row>
    <row r="7" spans="1:4" ht="16.5">
      <c r="A7" s="60" t="s">
        <v>20</v>
      </c>
      <c r="B7" s="61">
        <v>9038.64</v>
      </c>
      <c r="C7" s="62">
        <f>18358+16088</f>
        <v>34446</v>
      </c>
      <c r="D7" s="63">
        <f t="shared" si="0"/>
        <v>0.2624002786970911</v>
      </c>
    </row>
    <row r="8" spans="1:4" ht="16.5">
      <c r="A8" s="60" t="s">
        <v>42</v>
      </c>
      <c r="B8" s="61">
        <f>9878.31</f>
        <v>9878.31</v>
      </c>
      <c r="C8" s="62">
        <f>5346+4270+5244+7214+14262</f>
        <v>36336</v>
      </c>
      <c r="D8" s="63">
        <f t="shared" si="0"/>
        <v>0.2718601387054161</v>
      </c>
    </row>
    <row r="9" spans="1:4" ht="16.5">
      <c r="A9" s="60" t="s">
        <v>24</v>
      </c>
      <c r="B9" s="61">
        <f>10392.99</f>
        <v>10392.99</v>
      </c>
      <c r="C9" s="62">
        <f>13724+10302+14716</f>
        <v>38742</v>
      </c>
      <c r="D9" s="63">
        <f t="shared" si="0"/>
        <v>0.2682615765835527</v>
      </c>
    </row>
    <row r="10" spans="1:4" ht="16.5">
      <c r="A10" s="60" t="s">
        <v>43</v>
      </c>
      <c r="B10" s="61">
        <v>10139.28</v>
      </c>
      <c r="C10" s="62">
        <f>49189</f>
        <v>49189</v>
      </c>
      <c r="D10" s="63">
        <f t="shared" si="0"/>
        <v>0.20612901258411434</v>
      </c>
    </row>
    <row r="11" spans="1:4" ht="16.5">
      <c r="A11" s="60" t="s">
        <v>28</v>
      </c>
      <c r="B11" s="61">
        <v>10737.79</v>
      </c>
      <c r="C11" s="62">
        <f>12186+14918+19446</f>
        <v>46550</v>
      </c>
      <c r="D11" s="63">
        <f t="shared" si="0"/>
        <v>0.23067218045112783</v>
      </c>
    </row>
    <row r="12" spans="1:4" ht="16.5">
      <c r="A12" s="60" t="s">
        <v>30</v>
      </c>
      <c r="B12" s="61">
        <v>8712.05</v>
      </c>
      <c r="C12" s="62">
        <f>29311+30964</f>
        <v>60275</v>
      </c>
      <c r="D12" s="63">
        <f t="shared" si="0"/>
        <v>0.1445383658233098</v>
      </c>
    </row>
    <row r="13" spans="1:4" ht="16.5">
      <c r="A13" s="60" t="s">
        <v>32</v>
      </c>
      <c r="B13" s="61">
        <v>10260.06</v>
      </c>
      <c r="C13" s="62">
        <f>14501+24863+29241</f>
        <v>68605</v>
      </c>
      <c r="D13" s="63">
        <f t="shared" si="0"/>
        <v>0.14955265651191604</v>
      </c>
    </row>
    <row r="14" spans="1:4" ht="16.5">
      <c r="A14" s="60" t="s">
        <v>34</v>
      </c>
      <c r="B14" s="61">
        <f>13049.38</f>
        <v>13049.38</v>
      </c>
      <c r="C14" s="62">
        <f aca="true" t="shared" si="1" ref="C14:C15">14020+19873+30824</f>
        <v>64717</v>
      </c>
      <c r="D14" s="63">
        <f t="shared" si="0"/>
        <v>0.2016375913593028</v>
      </c>
    </row>
    <row r="15" spans="1:4" ht="16.5">
      <c r="A15" s="66" t="s">
        <v>36</v>
      </c>
      <c r="B15" s="67">
        <f>SUM(B3:B14)</f>
        <v>128339.9</v>
      </c>
      <c r="C15" s="68">
        <f t="shared" si="1"/>
        <v>64717</v>
      </c>
      <c r="D15" s="69">
        <f t="shared" si="0"/>
        <v>1.9830940865614908</v>
      </c>
    </row>
    <row r="16" spans="1:4" ht="16.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0.28125" defaultRowHeight="12.75"/>
  <cols>
    <col min="1" max="1" width="15.28125" style="0" customWidth="1"/>
    <col min="2" max="2" width="16.28125" style="0" customWidth="1"/>
    <col min="3" max="16384" width="11.57421875" style="0" customWidth="1"/>
  </cols>
  <sheetData>
    <row r="1" spans="1:4" ht="16.5">
      <c r="A1" s="55"/>
      <c r="B1" s="71" t="s">
        <v>6</v>
      </c>
      <c r="C1" s="71"/>
      <c r="D1" s="73"/>
    </row>
    <row r="2" spans="1:4" ht="16.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117.52+23.85</f>
        <v>141.37</v>
      </c>
      <c r="C3" s="62">
        <f>144+4</f>
        <v>148</v>
      </c>
      <c r="D3" s="63">
        <f aca="true" t="shared" si="0" ref="D3:D5">B3/C3</f>
        <v>0.9552027027027027</v>
      </c>
    </row>
    <row r="4" spans="1:4" ht="16.5">
      <c r="A4" s="60" t="s">
        <v>40</v>
      </c>
      <c r="B4" s="77">
        <f>1420.49</f>
        <v>1420.49</v>
      </c>
      <c r="C4" s="78">
        <f>8635</f>
        <v>8635</v>
      </c>
      <c r="D4" s="63">
        <f t="shared" si="0"/>
        <v>0.1645037637521714</v>
      </c>
    </row>
    <row r="5" spans="1:4" ht="16.5">
      <c r="A5" s="60" t="s">
        <v>16</v>
      </c>
      <c r="B5" s="61">
        <f>331.44+375.61</f>
        <v>707.05</v>
      </c>
      <c r="C5" s="62">
        <f>700+1627</f>
        <v>2327</v>
      </c>
      <c r="D5" s="63">
        <f t="shared" si="0"/>
        <v>0.3038461538461538</v>
      </c>
    </row>
    <row r="6" spans="1:4" ht="16.5">
      <c r="A6" s="60" t="s">
        <v>41</v>
      </c>
      <c r="B6" s="61">
        <f>-819.35</f>
        <v>-819.35</v>
      </c>
      <c r="C6" s="62">
        <v>0</v>
      </c>
      <c r="D6" s="63">
        <f>IF(B6,C6/B6,0)</f>
        <v>0</v>
      </c>
    </row>
    <row r="7" spans="1:4" ht="16.5">
      <c r="A7" s="60" t="s">
        <v>20</v>
      </c>
      <c r="B7" s="61">
        <f>724.67</f>
        <v>724.67</v>
      </c>
      <c r="C7" s="62">
        <f>1249</f>
        <v>1249</v>
      </c>
      <c r="D7" s="63">
        <f aca="true" t="shared" si="1" ref="D7:D9">B7/C7</f>
        <v>0.5802001601281025</v>
      </c>
    </row>
    <row r="8" spans="1:4" ht="16.5">
      <c r="A8" s="60" t="s">
        <v>42</v>
      </c>
      <c r="B8" s="61">
        <f>8634.38</f>
        <v>8634.38</v>
      </c>
      <c r="C8" s="62">
        <f>47737</f>
        <v>47737</v>
      </c>
      <c r="D8" s="63">
        <f t="shared" si="1"/>
        <v>0.18087395521293753</v>
      </c>
    </row>
    <row r="9" spans="1:4" ht="16.5">
      <c r="A9" s="60" t="s">
        <v>24</v>
      </c>
      <c r="B9" s="61">
        <f>41637.69+58182.97</f>
        <v>99820.66</v>
      </c>
      <c r="C9" s="62">
        <f>286385+358988</f>
        <v>645373</v>
      </c>
      <c r="D9" s="63">
        <f t="shared" si="1"/>
        <v>0.15467126762352934</v>
      </c>
    </row>
    <row r="10" spans="1:4" ht="16.5">
      <c r="A10" s="60" t="s">
        <v>43</v>
      </c>
      <c r="B10" s="61">
        <f>2685.89</f>
        <v>2685.89</v>
      </c>
      <c r="C10" s="62">
        <v>0</v>
      </c>
      <c r="D10" s="63">
        <f>C10/B10</f>
        <v>0</v>
      </c>
    </row>
    <row r="11" spans="1:4" ht="16.5">
      <c r="A11" s="60" t="s">
        <v>28</v>
      </c>
      <c r="B11" s="61">
        <f>1390.92+91.56</f>
        <v>1482.48</v>
      </c>
      <c r="C11" s="62">
        <f>9331</f>
        <v>9331</v>
      </c>
      <c r="D11" s="63">
        <f aca="true" t="shared" si="2" ref="D11:D15">B11/C11</f>
        <v>0.15887686207266102</v>
      </c>
    </row>
    <row r="12" spans="1:4" ht="16.5">
      <c r="A12" s="60" t="s">
        <v>30</v>
      </c>
      <c r="B12" s="61">
        <f>21.68</f>
        <v>21.68</v>
      </c>
      <c r="C12" s="62">
        <f>11</f>
        <v>11</v>
      </c>
      <c r="D12" s="63">
        <f t="shared" si="2"/>
        <v>1.970909090909091</v>
      </c>
    </row>
    <row r="13" spans="1:4" ht="16.5">
      <c r="A13" s="60" t="s">
        <v>32</v>
      </c>
      <c r="B13" s="61">
        <f>19931.74</f>
        <v>19931.74</v>
      </c>
      <c r="C13" s="62">
        <f>159020</f>
        <v>159020</v>
      </c>
      <c r="D13" s="63">
        <f t="shared" si="2"/>
        <v>0.12534108917117345</v>
      </c>
    </row>
    <row r="14" spans="1:4" ht="16.5">
      <c r="A14" s="60" t="s">
        <v>34</v>
      </c>
      <c r="B14" s="61">
        <f>744.89+10189.75</f>
        <v>10934.64</v>
      </c>
      <c r="C14" s="62">
        <f>9+60964</f>
        <v>60973</v>
      </c>
      <c r="D14" s="63">
        <f t="shared" si="2"/>
        <v>0.17933577157102323</v>
      </c>
    </row>
    <row r="15" spans="1:4" ht="16.5">
      <c r="A15" s="66" t="s">
        <v>36</v>
      </c>
      <c r="B15" s="67">
        <f>SUM(B3:B14)</f>
        <v>145685.7</v>
      </c>
      <c r="C15" s="68">
        <f>SUM(C3:C14)</f>
        <v>934804</v>
      </c>
      <c r="D15" s="69">
        <f t="shared" si="2"/>
        <v>0.15584625226250637</v>
      </c>
    </row>
    <row r="16" spans="1:4" ht="16.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14" sqref="D14"/>
    </sheetView>
  </sheetViews>
  <sheetFormatPr defaultColWidth="10.28125" defaultRowHeight="12.75"/>
  <cols>
    <col min="1" max="1" width="20.140625" style="0" customWidth="1"/>
    <col min="2" max="2" width="32.140625" style="0" customWidth="1"/>
    <col min="3" max="3" width="18.7109375" style="0" customWidth="1"/>
    <col min="4" max="4" width="11.57421875" style="54" customWidth="1"/>
    <col min="5" max="16384" width="11.00390625" style="0" customWidth="1"/>
  </cols>
  <sheetData>
    <row r="1" spans="1:4" ht="16.5">
      <c r="A1" s="55"/>
      <c r="B1" s="56" t="s">
        <v>38</v>
      </c>
      <c r="C1" s="56"/>
      <c r="D1" s="57"/>
    </row>
    <row r="2" spans="1:4" ht="16.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10223.8+456283.38+82201.65</f>
        <v>548708.83</v>
      </c>
      <c r="C3" s="62">
        <f>71605+3081179+658593</f>
        <v>3811377</v>
      </c>
      <c r="D3" s="63">
        <f aca="true" t="shared" si="0" ref="D3:D8">B3/C3</f>
        <v>0.1439660337982834</v>
      </c>
    </row>
    <row r="4" spans="1:4" ht="16.5">
      <c r="A4" s="60" t="s">
        <v>40</v>
      </c>
      <c r="B4" s="61">
        <f>8244.53+366951.37+32093.73</f>
        <v>407289.63</v>
      </c>
      <c r="C4" s="64">
        <f>53884+2529654+311544</f>
        <v>2895082</v>
      </c>
      <c r="D4" s="63">
        <f t="shared" si="0"/>
        <v>0.14068327943733547</v>
      </c>
    </row>
    <row r="5" spans="1:4" ht="16.5">
      <c r="A5" s="60" t="s">
        <v>16</v>
      </c>
      <c r="B5" s="61">
        <f>10743.05+366331+20584.82</f>
        <v>397658.87</v>
      </c>
      <c r="C5" s="62">
        <f>78356+2564849+160686</f>
        <v>2803891</v>
      </c>
      <c r="D5" s="63">
        <f t="shared" si="0"/>
        <v>0.14182394037428703</v>
      </c>
    </row>
    <row r="6" spans="1:4" ht="16.5">
      <c r="A6" s="60" t="s">
        <v>41</v>
      </c>
      <c r="B6" s="61">
        <f>7135+310276.72+24004.21</f>
        <v>341415.93</v>
      </c>
      <c r="C6" s="62">
        <f>51325+2212242+156419</f>
        <v>2419986</v>
      </c>
      <c r="D6" s="63">
        <f t="shared" si="0"/>
        <v>0.14108177898549826</v>
      </c>
    </row>
    <row r="7" spans="1:4" ht="16.5">
      <c r="A7" s="60" t="s">
        <v>20</v>
      </c>
      <c r="B7" s="61">
        <f>9190.58+312171.35+26453.09</f>
        <v>347815.02</v>
      </c>
      <c r="C7" s="62">
        <f>72774+2317523+193969</f>
        <v>2584266</v>
      </c>
      <c r="D7" s="63">
        <f t="shared" si="0"/>
        <v>0.13458948111378627</v>
      </c>
    </row>
    <row r="8" spans="1:4" ht="16.5">
      <c r="A8" s="60" t="s">
        <v>42</v>
      </c>
      <c r="B8" s="61">
        <f>7678.87+248011.68+16848.09</f>
        <v>272538.64</v>
      </c>
      <c r="C8" s="62">
        <f>55281+1873197+107546</f>
        <v>2036024</v>
      </c>
      <c r="D8" s="63">
        <f t="shared" si="0"/>
        <v>0.13385826493204403</v>
      </c>
    </row>
    <row r="9" spans="1:4" ht="16.5">
      <c r="A9" s="60" t="s">
        <v>24</v>
      </c>
      <c r="B9" s="61">
        <f>3112+252367.97+6165.07</f>
        <v>261645.04</v>
      </c>
      <c r="C9" s="62">
        <f>23044+1900454+275516</f>
        <v>2199014</v>
      </c>
      <c r="D9" s="63">
        <f>B8/C9</f>
        <v>0.12393674619624978</v>
      </c>
    </row>
    <row r="10" spans="1:4" ht="16.5">
      <c r="A10" s="60" t="s">
        <v>43</v>
      </c>
      <c r="B10" s="61">
        <f>17266.41+287018.43</f>
        <v>304284.83999999997</v>
      </c>
      <c r="C10" s="62">
        <f>127407+2196120</f>
        <v>2323527</v>
      </c>
      <c r="D10" s="63">
        <f aca="true" t="shared" si="1" ref="D10:D11">B10/C10</f>
        <v>0.13095816833632662</v>
      </c>
    </row>
    <row r="11" spans="1:4" ht="16.5">
      <c r="A11" s="60" t="s">
        <v>28</v>
      </c>
      <c r="B11" s="61">
        <f>18771.77+305265.69</f>
        <v>324037.46</v>
      </c>
      <c r="C11" s="62">
        <f>139462+2388323</f>
        <v>2527785</v>
      </c>
      <c r="D11" s="63">
        <f t="shared" si="1"/>
        <v>0.1281902772585485</v>
      </c>
    </row>
    <row r="12" spans="1:4" ht="16.5">
      <c r="A12" s="60" t="s">
        <v>30</v>
      </c>
      <c r="B12" s="61">
        <f>18900.28+265904.71</f>
        <v>284804.99</v>
      </c>
      <c r="C12" s="62">
        <f>142506+2034358</f>
        <v>2176864</v>
      </c>
      <c r="D12" s="63">
        <f aca="true" t="shared" si="2" ref="D12:D14">IF(B12,B12/C12,0)</f>
        <v>0.13083269786261337</v>
      </c>
    </row>
    <row r="13" spans="1:4" ht="16.5">
      <c r="A13" s="60" t="s">
        <v>32</v>
      </c>
      <c r="B13" s="65">
        <f>15532.57+466173.98</f>
        <v>481706.55</v>
      </c>
      <c r="C13" s="62">
        <f>116038+3396428</f>
        <v>3512466</v>
      </c>
      <c r="D13" s="63">
        <f t="shared" si="2"/>
        <v>0.13714198229961513</v>
      </c>
    </row>
    <row r="14" spans="1:4" ht="16.5">
      <c r="A14" s="60" t="s">
        <v>34</v>
      </c>
      <c r="B14" s="61">
        <f>385751.79+6840.46</f>
        <v>392592.25</v>
      </c>
      <c r="C14" s="62">
        <f>49466+2722188</f>
        <v>2771654</v>
      </c>
      <c r="D14" s="63">
        <f t="shared" si="2"/>
        <v>0.14164547595046134</v>
      </c>
    </row>
    <row r="15" spans="1:4" ht="15" customHeight="1">
      <c r="A15" s="66" t="s">
        <v>36</v>
      </c>
      <c r="B15" s="67">
        <f>SUM(B3:B14)</f>
        <v>4364498.05</v>
      </c>
      <c r="C15" s="68">
        <f>SUM(C3:C14)</f>
        <v>32061936</v>
      </c>
      <c r="D15" s="69">
        <f>B15/C15</f>
        <v>0.13612709007965082</v>
      </c>
    </row>
    <row r="16" ht="16.5">
      <c r="A16" s="70" t="s">
        <v>37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0.28125" defaultRowHeight="12.75"/>
  <cols>
    <col min="1" max="1" width="20.140625" style="0" customWidth="1"/>
    <col min="2" max="3" width="18.7109375" style="0" customWidth="1"/>
    <col min="4" max="4" width="11.57421875" style="6" customWidth="1"/>
    <col min="5" max="16384" width="11.00390625" style="0" customWidth="1"/>
  </cols>
  <sheetData>
    <row r="1" spans="1:4" ht="15.75">
      <c r="A1" s="17"/>
      <c r="B1" s="71" t="s">
        <v>44</v>
      </c>
      <c r="C1" s="71"/>
      <c r="D1" s="20"/>
    </row>
    <row r="2" spans="1:4" ht="15.7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36.13+123609.48</f>
        <v>123645.61</v>
      </c>
      <c r="C3" s="62">
        <f>18+643973</f>
        <v>643991</v>
      </c>
      <c r="D3" s="63">
        <f aca="true" t="shared" si="0" ref="D3:D15">B3/C3</f>
        <v>0.19199897203532348</v>
      </c>
    </row>
    <row r="4" spans="1:4" ht="16.5">
      <c r="A4" s="60" t="s">
        <v>40</v>
      </c>
      <c r="B4" s="61">
        <f>375.39+106392.77</f>
        <v>106768.16</v>
      </c>
      <c r="C4" s="72">
        <f>1488+561009</f>
        <v>562497</v>
      </c>
      <c r="D4" s="63">
        <f t="shared" si="0"/>
        <v>0.18981107454795315</v>
      </c>
    </row>
    <row r="5" spans="1:4" ht="16.5">
      <c r="A5" s="60" t="s">
        <v>16</v>
      </c>
      <c r="B5" s="61">
        <f>166.62+104215.48</f>
        <v>104382.09999999999</v>
      </c>
      <c r="C5" s="72">
        <f>307+548689</f>
        <v>548996</v>
      </c>
      <c r="D5" s="63">
        <f t="shared" si="0"/>
        <v>0.19013271499245896</v>
      </c>
    </row>
    <row r="6" spans="1:4" ht="16.5">
      <c r="A6" s="60" t="s">
        <v>41</v>
      </c>
      <c r="B6" s="61">
        <f>49.44+108465.31+4370.14</f>
        <v>112884.89</v>
      </c>
      <c r="C6" s="62">
        <f>172+563946+33133</f>
        <v>597251</v>
      </c>
      <c r="D6" s="63">
        <f t="shared" si="0"/>
        <v>0.18900745247810385</v>
      </c>
    </row>
    <row r="7" spans="1:4" ht="16.5">
      <c r="A7" s="60" t="s">
        <v>20</v>
      </c>
      <c r="B7" s="61">
        <f>93699.81</f>
        <v>93699.81</v>
      </c>
      <c r="C7" s="62">
        <f>465521</f>
        <v>465521</v>
      </c>
      <c r="D7" s="63">
        <f t="shared" si="0"/>
        <v>0.20127944818815907</v>
      </c>
    </row>
    <row r="8" spans="1:4" ht="16.5">
      <c r="A8" s="60" t="s">
        <v>42</v>
      </c>
      <c r="B8" s="61">
        <f>94182.23</f>
        <v>94182.23</v>
      </c>
      <c r="C8" s="62">
        <f>578515</f>
        <v>578515</v>
      </c>
      <c r="D8" s="63">
        <f t="shared" si="0"/>
        <v>0.1627999792572362</v>
      </c>
    </row>
    <row r="9" spans="1:4" ht="16.5">
      <c r="A9" s="60" t="s">
        <v>24</v>
      </c>
      <c r="B9" s="61">
        <f>24727.81</f>
        <v>24727.81</v>
      </c>
      <c r="C9" s="62">
        <f>759707</f>
        <v>759707</v>
      </c>
      <c r="D9" s="63">
        <f t="shared" si="0"/>
        <v>0.0325491406555422</v>
      </c>
    </row>
    <row r="10" spans="1:4" ht="16.5">
      <c r="A10" s="60" t="s">
        <v>43</v>
      </c>
      <c r="B10" s="61">
        <f>154.57+154124.66</f>
        <v>154279.23</v>
      </c>
      <c r="C10" s="62">
        <f>869176</f>
        <v>869176</v>
      </c>
      <c r="D10" s="63">
        <f t="shared" si="0"/>
        <v>0.17750056375233556</v>
      </c>
    </row>
    <row r="11" spans="1:4" ht="16.5">
      <c r="A11" s="60" t="s">
        <v>28</v>
      </c>
      <c r="B11" s="61">
        <f>2002.95+165160.14</f>
        <v>167163.09000000003</v>
      </c>
      <c r="C11" s="62">
        <f>16425+910446</f>
        <v>926871</v>
      </c>
      <c r="D11" s="63">
        <f t="shared" si="0"/>
        <v>0.180352055464029</v>
      </c>
    </row>
    <row r="12" spans="1:4" ht="16.5">
      <c r="A12" s="60" t="s">
        <v>30</v>
      </c>
      <c r="B12" s="61">
        <f>582.35+119731.48</f>
        <v>120313.83</v>
      </c>
      <c r="C12" s="62">
        <f>1626+640523</f>
        <v>642149</v>
      </c>
      <c r="D12" s="63">
        <f t="shared" si="0"/>
        <v>0.18736123547650158</v>
      </c>
    </row>
    <row r="13" spans="1:4" ht="16.5">
      <c r="A13" s="60" t="s">
        <v>32</v>
      </c>
      <c r="B13" s="61">
        <f>1974.01+95604.7</f>
        <v>97578.70999999999</v>
      </c>
      <c r="C13" s="62">
        <f>8043+817914</f>
        <v>825957</v>
      </c>
      <c r="D13" s="63">
        <f t="shared" si="0"/>
        <v>0.11814018163173143</v>
      </c>
    </row>
    <row r="14" spans="1:4" ht="16.5">
      <c r="A14" s="60" t="s">
        <v>34</v>
      </c>
      <c r="B14" s="61">
        <f>1484+98465.5</f>
        <v>99949.5</v>
      </c>
      <c r="C14" s="62">
        <f>1484+519707</f>
        <v>521191</v>
      </c>
      <c r="D14" s="63">
        <f t="shared" si="0"/>
        <v>0.19177134678073873</v>
      </c>
    </row>
    <row r="15" spans="1:4" ht="15" customHeight="1">
      <c r="A15" s="66" t="s">
        <v>36</v>
      </c>
      <c r="B15" s="67">
        <f>SUM(B3:B14)</f>
        <v>1299574.9700000002</v>
      </c>
      <c r="C15" s="68">
        <f>SUM(C3:C14)</f>
        <v>7941822</v>
      </c>
      <c r="D15" s="69">
        <f t="shared" si="0"/>
        <v>0.16363687954728778</v>
      </c>
    </row>
    <row r="16" spans="1:4" ht="1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0.28125" defaultRowHeight="12.75"/>
  <cols>
    <col min="1" max="1" width="20.140625" style="0" customWidth="1"/>
    <col min="2" max="3" width="18.7109375" style="0" customWidth="1"/>
    <col min="4" max="4" width="11.57421875" style="6" customWidth="1"/>
    <col min="5" max="16384" width="11.00390625" style="0" customWidth="1"/>
  </cols>
  <sheetData>
    <row r="1" spans="1:4" ht="16.5">
      <c r="A1" s="55"/>
      <c r="B1" s="71" t="s">
        <v>45</v>
      </c>
      <c r="C1" s="71"/>
      <c r="D1" s="73"/>
    </row>
    <row r="2" spans="1:4" ht="16.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74">
        <f>57.23+36527.14</f>
        <v>36584.37</v>
      </c>
      <c r="C3" s="72">
        <f>156159</f>
        <v>156159</v>
      </c>
      <c r="D3" s="63">
        <f aca="true" t="shared" si="0" ref="D3:D15">B3/C3</f>
        <v>0.2342764105815227</v>
      </c>
    </row>
    <row r="4" spans="1:4" ht="15" customHeight="1">
      <c r="A4" s="60" t="s">
        <v>40</v>
      </c>
      <c r="B4" s="74">
        <f>207.84+39611.22</f>
        <v>39819.06</v>
      </c>
      <c r="C4" s="72">
        <f>382+174335</f>
        <v>174717</v>
      </c>
      <c r="D4" s="63">
        <f t="shared" si="0"/>
        <v>0.22790604234276</v>
      </c>
    </row>
    <row r="5" spans="1:4" ht="15" customHeight="1">
      <c r="A5" s="60" t="s">
        <v>16</v>
      </c>
      <c r="B5" s="74">
        <f>390.25+37657.01</f>
        <v>38047.26</v>
      </c>
      <c r="C5" s="72">
        <f>1738+171998</f>
        <v>173736</v>
      </c>
      <c r="D5" s="63">
        <f t="shared" si="0"/>
        <v>0.21899468158585442</v>
      </c>
    </row>
    <row r="6" spans="1:4" ht="15" customHeight="1">
      <c r="A6" s="60" t="s">
        <v>41</v>
      </c>
      <c r="B6" s="75">
        <f>36053.89+365</f>
        <v>36418.89</v>
      </c>
      <c r="C6" s="76">
        <f>2054+153388</f>
        <v>155442</v>
      </c>
      <c r="D6" s="63">
        <f t="shared" si="0"/>
        <v>0.234292469216814</v>
      </c>
    </row>
    <row r="7" spans="1:4" ht="15" customHeight="1">
      <c r="A7" s="60" t="s">
        <v>20</v>
      </c>
      <c r="B7" s="74">
        <f>378.44+26760.07</f>
        <v>27138.51</v>
      </c>
      <c r="C7" s="72">
        <f>1738+105107</f>
        <v>106845</v>
      </c>
      <c r="D7" s="63">
        <f t="shared" si="0"/>
        <v>0.25399887687772005</v>
      </c>
    </row>
    <row r="8" spans="1:4" ht="15" customHeight="1">
      <c r="A8" s="60" t="s">
        <v>42</v>
      </c>
      <c r="B8" s="74">
        <f>27283.16</f>
        <v>27283.16</v>
      </c>
      <c r="C8" s="72">
        <f>100672</f>
        <v>100672</v>
      </c>
      <c r="D8" s="63">
        <f t="shared" si="0"/>
        <v>0.27101041004450094</v>
      </c>
    </row>
    <row r="9" spans="1:4" ht="15" customHeight="1">
      <c r="A9" s="60" t="s">
        <v>24</v>
      </c>
      <c r="B9" s="74">
        <f>73.5</f>
        <v>73.5</v>
      </c>
      <c r="C9" s="72">
        <f>76</f>
        <v>76</v>
      </c>
      <c r="D9" s="63">
        <f t="shared" si="0"/>
        <v>0.9671052631578947</v>
      </c>
    </row>
    <row r="10" spans="1:4" ht="15" customHeight="1">
      <c r="A10" s="60" t="s">
        <v>43</v>
      </c>
      <c r="B10" s="74">
        <f>706.6+54122.55</f>
        <v>54829.15</v>
      </c>
      <c r="C10" s="72">
        <f>3097+234890</f>
        <v>237987</v>
      </c>
      <c r="D10" s="63">
        <f t="shared" si="0"/>
        <v>0.23038716400475656</v>
      </c>
    </row>
    <row r="11" spans="1:4" ht="15" customHeight="1">
      <c r="A11" s="60" t="s">
        <v>28</v>
      </c>
      <c r="B11" s="74">
        <f>606.67+39178.56</f>
        <v>39785.229999999996</v>
      </c>
      <c r="C11" s="72">
        <f>2011+177753</f>
        <v>179764</v>
      </c>
      <c r="D11" s="63">
        <f t="shared" si="0"/>
        <v>0.22131922965666093</v>
      </c>
    </row>
    <row r="12" spans="1:4" ht="15" customHeight="1">
      <c r="A12" s="60" t="s">
        <v>30</v>
      </c>
      <c r="B12" s="74">
        <f>518.07+40145.29</f>
        <v>40663.36</v>
      </c>
      <c r="C12" s="72">
        <f>2960+179470</f>
        <v>182430</v>
      </c>
      <c r="D12" s="63">
        <f t="shared" si="0"/>
        <v>0.22289842679383873</v>
      </c>
    </row>
    <row r="13" spans="1:4" ht="15" customHeight="1">
      <c r="A13" s="60" t="s">
        <v>32</v>
      </c>
      <c r="B13" s="74">
        <f>33198.53</f>
        <v>33198.53</v>
      </c>
      <c r="C13" s="72">
        <f>132557</f>
        <v>132557</v>
      </c>
      <c r="D13" s="63">
        <f t="shared" si="0"/>
        <v>0.2504472038443839</v>
      </c>
    </row>
    <row r="14" spans="1:4" ht="15" customHeight="1">
      <c r="A14" s="60" t="s">
        <v>34</v>
      </c>
      <c r="B14" s="74">
        <f>377.86+38875.15</f>
        <v>39253.01</v>
      </c>
      <c r="C14" s="72">
        <f>2130+170946</f>
        <v>173076</v>
      </c>
      <c r="D14" s="63">
        <f t="shared" si="0"/>
        <v>0.22679637846957407</v>
      </c>
    </row>
    <row r="15" spans="1:4" ht="15" customHeight="1">
      <c r="A15" s="66" t="s">
        <v>36</v>
      </c>
      <c r="B15" s="67">
        <f>SUM(B3:B14)</f>
        <v>413094.03</v>
      </c>
      <c r="C15" s="68">
        <f>SUM(C3:C14)</f>
        <v>1773461</v>
      </c>
      <c r="D15" s="69">
        <f t="shared" si="0"/>
        <v>0.23293099199813247</v>
      </c>
    </row>
    <row r="16" spans="1:4" ht="16.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0.28125" defaultRowHeight="12.75"/>
  <cols>
    <col min="1" max="1" width="20.140625" style="0" customWidth="1"/>
    <col min="2" max="3" width="18.7109375" style="0" customWidth="1"/>
    <col min="4" max="4" width="11.57421875" style="6" customWidth="1"/>
    <col min="5" max="16384" width="11.00390625" style="0" customWidth="1"/>
  </cols>
  <sheetData>
    <row r="1" spans="1:4" ht="15.75">
      <c r="A1" s="55"/>
      <c r="B1" s="71" t="s">
        <v>46</v>
      </c>
      <c r="C1" s="71"/>
      <c r="D1" s="73"/>
    </row>
    <row r="2" spans="1:4" ht="15.7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2279.74+72033.52</f>
        <v>74313.26000000001</v>
      </c>
      <c r="C3" s="62">
        <f>10204+346986</f>
        <v>357190</v>
      </c>
      <c r="D3" s="63">
        <f aca="true" t="shared" si="0" ref="D3:D15">B3/C3</f>
        <v>0.2080496654441614</v>
      </c>
    </row>
    <row r="4" spans="1:4" ht="16.5">
      <c r="A4" s="60" t="s">
        <v>40</v>
      </c>
      <c r="B4" s="61">
        <f>1473.42+90852.06</f>
        <v>92325.48</v>
      </c>
      <c r="C4" s="62">
        <f>6417+497801</f>
        <v>504218</v>
      </c>
      <c r="D4" s="63">
        <f t="shared" si="0"/>
        <v>0.1831062754602176</v>
      </c>
    </row>
    <row r="5" spans="1:4" ht="15" customHeight="1">
      <c r="A5" s="60" t="s">
        <v>16</v>
      </c>
      <c r="B5" s="61">
        <f>1545.89+94461.13</f>
        <v>96007.02</v>
      </c>
      <c r="C5" s="62">
        <f>8140+525271</f>
        <v>533411</v>
      </c>
      <c r="D5" s="63">
        <f t="shared" si="0"/>
        <v>0.17998695190012956</v>
      </c>
    </row>
    <row r="6" spans="1:4" ht="15" customHeight="1">
      <c r="A6" s="60" t="s">
        <v>41</v>
      </c>
      <c r="B6" s="61">
        <f>1500.5+92319.91</f>
        <v>93820.41</v>
      </c>
      <c r="C6" s="62">
        <f>7574+436067</f>
        <v>443641</v>
      </c>
      <c r="D6" s="63">
        <f t="shared" si="0"/>
        <v>0.2114782222562838</v>
      </c>
    </row>
    <row r="7" spans="1:4" ht="15" customHeight="1">
      <c r="A7" s="60" t="s">
        <v>20</v>
      </c>
      <c r="B7" s="61">
        <f>130.23+74710.83</f>
        <v>74841.06</v>
      </c>
      <c r="C7" s="62">
        <f>366701</f>
        <v>366701</v>
      </c>
      <c r="D7" s="63">
        <f t="shared" si="0"/>
        <v>0.2040928713038688</v>
      </c>
    </row>
    <row r="8" spans="1:4" ht="15" customHeight="1">
      <c r="A8" s="60" t="s">
        <v>42</v>
      </c>
      <c r="B8" s="61">
        <f>2162.72+62343</f>
        <v>64505.72</v>
      </c>
      <c r="C8" s="62">
        <f>11290+280122</f>
        <v>291412</v>
      </c>
      <c r="D8" s="63">
        <f t="shared" si="0"/>
        <v>0.2213557437579784</v>
      </c>
    </row>
    <row r="9" spans="1:4" ht="15" customHeight="1">
      <c r="A9" s="60" t="s">
        <v>24</v>
      </c>
      <c r="B9" s="61">
        <f>8841.37</f>
        <v>8841.37</v>
      </c>
      <c r="C9" s="62">
        <f>197780</f>
        <v>197780</v>
      </c>
      <c r="D9" s="63">
        <f t="shared" si="0"/>
        <v>0.04470305389827081</v>
      </c>
    </row>
    <row r="10" spans="1:4" ht="15" customHeight="1">
      <c r="A10" s="60" t="s">
        <v>43</v>
      </c>
      <c r="B10" s="61">
        <f>33742.35+2326.58</f>
        <v>36068.93</v>
      </c>
      <c r="C10" s="62">
        <f>100037+10006</f>
        <v>110043</v>
      </c>
      <c r="D10" s="63">
        <f t="shared" si="0"/>
        <v>0.3277712348809102</v>
      </c>
    </row>
    <row r="11" spans="1:4" ht="15" customHeight="1">
      <c r="A11" s="60" t="s">
        <v>28</v>
      </c>
      <c r="B11" s="61">
        <f>1195.8+41285.42</f>
        <v>42481.22</v>
      </c>
      <c r="C11" s="62">
        <f>2171+149869</f>
        <v>152040</v>
      </c>
      <c r="D11" s="63">
        <f t="shared" si="0"/>
        <v>0.27940818205735335</v>
      </c>
    </row>
    <row r="12" spans="1:4" ht="15" customHeight="1">
      <c r="A12" s="60" t="s">
        <v>30</v>
      </c>
      <c r="B12" s="61">
        <f>2973.4+60504.46</f>
        <v>63477.86</v>
      </c>
      <c r="C12" s="62">
        <f>12315+264056</f>
        <v>276371</v>
      </c>
      <c r="D12" s="63">
        <f t="shared" si="0"/>
        <v>0.22968350514344849</v>
      </c>
    </row>
    <row r="13" spans="1:4" ht="15" customHeight="1">
      <c r="A13" s="60" t="s">
        <v>32</v>
      </c>
      <c r="B13" s="61">
        <f>4341.93+65588.08</f>
        <v>69930.01000000001</v>
      </c>
      <c r="C13" s="62">
        <f>15242+408366</f>
        <v>423608</v>
      </c>
      <c r="D13" s="63">
        <f t="shared" si="0"/>
        <v>0.1650818917489755</v>
      </c>
    </row>
    <row r="14" spans="1:4" ht="15" customHeight="1">
      <c r="A14" s="60" t="s">
        <v>34</v>
      </c>
      <c r="B14" s="61">
        <f>5404.57+71886.38</f>
        <v>77290.95000000001</v>
      </c>
      <c r="C14" s="62">
        <f>22662+378087</f>
        <v>400749</v>
      </c>
      <c r="D14" s="63">
        <f t="shared" si="0"/>
        <v>0.19286623297874733</v>
      </c>
    </row>
    <row r="15" spans="1:4" ht="15" customHeight="1">
      <c r="A15" s="66" t="s">
        <v>36</v>
      </c>
      <c r="B15" s="67">
        <f>SUM(B3:B14)</f>
        <v>793903.29</v>
      </c>
      <c r="C15" s="68">
        <f>SUM(C3:C14)</f>
        <v>4057164</v>
      </c>
      <c r="D15" s="69">
        <f t="shared" si="0"/>
        <v>0.1956793686427268</v>
      </c>
    </row>
    <row r="16" spans="1:4" ht="1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4" sqref="C14"/>
    </sheetView>
  </sheetViews>
  <sheetFormatPr defaultColWidth="10.28125" defaultRowHeight="12.75"/>
  <cols>
    <col min="1" max="1" width="20.140625" style="0" customWidth="1"/>
    <col min="2" max="3" width="18.7109375" style="0" customWidth="1"/>
    <col min="4" max="4" width="11.57421875" style="6" customWidth="1"/>
    <col min="5" max="16384" width="11.00390625" style="0" customWidth="1"/>
  </cols>
  <sheetData>
    <row r="1" spans="1:4" ht="15.75">
      <c r="A1" s="55"/>
      <c r="B1" s="71" t="s">
        <v>47</v>
      </c>
      <c r="C1" s="71"/>
      <c r="D1" s="73"/>
    </row>
    <row r="2" spans="1:4" ht="15.75" customHeight="1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753.2+7393.86</f>
        <v>8147.0599999999995</v>
      </c>
      <c r="C3" s="62">
        <f>4346+35815</f>
        <v>40161</v>
      </c>
      <c r="D3" s="63">
        <f aca="true" t="shared" si="0" ref="D3:D15">B3/C3</f>
        <v>0.20285998854610193</v>
      </c>
    </row>
    <row r="4" spans="1:4" ht="15" customHeight="1">
      <c r="A4" s="60" t="s">
        <v>40</v>
      </c>
      <c r="B4" s="61">
        <f>654.42+3815.79</f>
        <v>4470.21</v>
      </c>
      <c r="C4" s="62">
        <f>3817+16570</f>
        <v>20387</v>
      </c>
      <c r="D4" s="63">
        <f t="shared" si="0"/>
        <v>0.21926767057438565</v>
      </c>
    </row>
    <row r="5" spans="1:4" ht="15" customHeight="1">
      <c r="A5" s="60" t="s">
        <v>16</v>
      </c>
      <c r="B5" s="61">
        <f>7240.76</f>
        <v>7240.76</v>
      </c>
      <c r="C5" s="62">
        <f>36188</f>
        <v>36188</v>
      </c>
      <c r="D5" s="63">
        <f t="shared" si="0"/>
        <v>0.2000873217641207</v>
      </c>
    </row>
    <row r="6" spans="1:4" ht="15" customHeight="1">
      <c r="A6" s="60" t="s">
        <v>41</v>
      </c>
      <c r="B6" s="61">
        <f>3989.47</f>
        <v>3989.47</v>
      </c>
      <c r="C6" s="62">
        <f>17260</f>
        <v>17260</v>
      </c>
      <c r="D6" s="63">
        <f t="shared" si="0"/>
        <v>0.2311396292004635</v>
      </c>
    </row>
    <row r="7" spans="1:4" ht="15" customHeight="1">
      <c r="A7" s="60" t="s">
        <v>20</v>
      </c>
      <c r="B7" s="61">
        <f>7163.95</f>
        <v>7163.95</v>
      </c>
      <c r="C7" s="62">
        <f>35735</f>
        <v>35735</v>
      </c>
      <c r="D7" s="63">
        <f t="shared" si="0"/>
        <v>0.2004743248915629</v>
      </c>
    </row>
    <row r="8" spans="1:4" ht="15" customHeight="1">
      <c r="A8" s="60" t="s">
        <v>42</v>
      </c>
      <c r="B8" s="61">
        <f>5535.9</f>
        <v>5535.9</v>
      </c>
      <c r="C8" s="62">
        <f>27299</f>
        <v>27299</v>
      </c>
      <c r="D8" s="63">
        <f t="shared" si="0"/>
        <v>0.20278764789919043</v>
      </c>
    </row>
    <row r="9" spans="1:4" ht="15" customHeight="1">
      <c r="A9" s="60" t="s">
        <v>24</v>
      </c>
      <c r="B9" s="61">
        <f>10496.65</f>
        <v>10496.65</v>
      </c>
      <c r="C9" s="62">
        <f>57876</f>
        <v>57876</v>
      </c>
      <c r="D9" s="63">
        <f t="shared" si="0"/>
        <v>0.18136446886446886</v>
      </c>
    </row>
    <row r="10" spans="1:4" ht="15" customHeight="1">
      <c r="A10" s="60" t="s">
        <v>43</v>
      </c>
      <c r="B10" s="61">
        <f>7537.56</f>
        <v>7537.56</v>
      </c>
      <c r="C10" s="62">
        <f>42364</f>
        <v>42364</v>
      </c>
      <c r="D10" s="63">
        <f t="shared" si="0"/>
        <v>0.17792370880936645</v>
      </c>
    </row>
    <row r="11" spans="1:4" ht="15" customHeight="1">
      <c r="A11" s="60" t="s">
        <v>28</v>
      </c>
      <c r="B11" s="61">
        <f>11333.17</f>
        <v>11333.17</v>
      </c>
      <c r="C11" s="62">
        <f>63632</f>
        <v>63632</v>
      </c>
      <c r="D11" s="63">
        <f t="shared" si="0"/>
        <v>0.17810488433492583</v>
      </c>
    </row>
    <row r="12" spans="1:4" ht="15" customHeight="1">
      <c r="A12" s="60" t="s">
        <v>30</v>
      </c>
      <c r="B12" s="61">
        <f>614.98+6091.26</f>
        <v>6706.24</v>
      </c>
      <c r="C12" s="62">
        <f>3565+31447</f>
        <v>35012</v>
      </c>
      <c r="D12" s="63">
        <f t="shared" si="0"/>
        <v>0.19154118587912716</v>
      </c>
    </row>
    <row r="13" spans="1:4" ht="15" customHeight="1">
      <c r="A13" s="60" t="s">
        <v>32</v>
      </c>
      <c r="B13" s="61">
        <f>8505.27</f>
        <v>8505.27</v>
      </c>
      <c r="C13" s="62">
        <f>44335</f>
        <v>44335</v>
      </c>
      <c r="D13" s="63">
        <f t="shared" si="0"/>
        <v>0.19184098342167588</v>
      </c>
    </row>
    <row r="14" spans="1:4" ht="15" customHeight="1">
      <c r="A14" s="60" t="s">
        <v>34</v>
      </c>
      <c r="B14" s="61">
        <f>352.64+3678</f>
        <v>4030.64</v>
      </c>
      <c r="C14" s="62">
        <f>2008+16231</f>
        <v>18239</v>
      </c>
      <c r="D14" s="63">
        <f t="shared" si="0"/>
        <v>0.22099018586545313</v>
      </c>
    </row>
    <row r="15" spans="1:4" ht="15" customHeight="1">
      <c r="A15" s="66" t="s">
        <v>36</v>
      </c>
      <c r="B15" s="67">
        <f>SUM(B3:B14)</f>
        <v>85156.87999999999</v>
      </c>
      <c r="C15" s="68">
        <f>SUM(C3:C14)</f>
        <v>438488</v>
      </c>
      <c r="D15" s="69">
        <f t="shared" si="0"/>
        <v>0.1942057251281677</v>
      </c>
    </row>
    <row r="16" spans="1:4" ht="1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B14" sqref="B14"/>
    </sheetView>
  </sheetViews>
  <sheetFormatPr defaultColWidth="10.28125" defaultRowHeight="12.75"/>
  <cols>
    <col min="1" max="1" width="20.140625" style="0" customWidth="1"/>
    <col min="2" max="3" width="18.7109375" style="0" customWidth="1"/>
    <col min="4" max="4" width="11.57421875" style="6" customWidth="1"/>
    <col min="5" max="16384" width="11.00390625" style="0" customWidth="1"/>
  </cols>
  <sheetData>
    <row r="1" spans="1:4" ht="15.75">
      <c r="A1" s="55"/>
      <c r="B1" s="71" t="s">
        <v>48</v>
      </c>
      <c r="C1" s="71"/>
      <c r="D1" s="73"/>
    </row>
    <row r="2" spans="1:4" ht="15.75" customHeight="1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12</v>
      </c>
      <c r="B3" s="61">
        <f>812.9+10526.26</f>
        <v>11339.16</v>
      </c>
      <c r="C3" s="62">
        <f>4924+63513</f>
        <v>68437</v>
      </c>
      <c r="D3" s="63">
        <f aca="true" t="shared" si="0" ref="D3:D15">B3/C3</f>
        <v>0.16568756666715373</v>
      </c>
    </row>
    <row r="4" spans="1:4" ht="16.5">
      <c r="A4" s="60" t="s">
        <v>40</v>
      </c>
      <c r="B4" s="77">
        <v>12372.48</v>
      </c>
      <c r="C4" s="78">
        <f>75514</f>
        <v>75514</v>
      </c>
      <c r="D4" s="63">
        <f t="shared" si="0"/>
        <v>0.163843525703843</v>
      </c>
    </row>
    <row r="5" spans="1:4" ht="16.5">
      <c r="A5" s="60" t="s">
        <v>16</v>
      </c>
      <c r="B5" s="61">
        <f>201.84+10051.43</f>
        <v>10253.27</v>
      </c>
      <c r="C5" s="62">
        <f>1291+59180</f>
        <v>60471</v>
      </c>
      <c r="D5" s="63">
        <f t="shared" si="0"/>
        <v>0.1695568123563361</v>
      </c>
    </row>
    <row r="6" spans="1:4" ht="16.5">
      <c r="A6" s="60" t="s">
        <v>41</v>
      </c>
      <c r="B6" s="61">
        <f>12870.08+10051.43</f>
        <v>22921.510000000002</v>
      </c>
      <c r="C6" s="62">
        <f>79000+59180</f>
        <v>138180</v>
      </c>
      <c r="D6" s="63">
        <f t="shared" si="0"/>
        <v>0.16588153133593864</v>
      </c>
    </row>
    <row r="7" spans="1:4" ht="16.5">
      <c r="A7" s="60" t="s">
        <v>20</v>
      </c>
      <c r="B7" s="61">
        <f>10305.06</f>
        <v>10305.06</v>
      </c>
      <c r="C7" s="62">
        <f>59610</f>
        <v>59610</v>
      </c>
      <c r="D7" s="63">
        <f t="shared" si="0"/>
        <v>0.17287468545546048</v>
      </c>
    </row>
    <row r="8" spans="1:4" ht="16.5">
      <c r="A8" s="60" t="s">
        <v>42</v>
      </c>
      <c r="B8" s="61">
        <f>12198.13</f>
        <v>12198.13</v>
      </c>
      <c r="C8" s="62">
        <f>74576</f>
        <v>74576</v>
      </c>
      <c r="D8" s="63">
        <f t="shared" si="0"/>
        <v>0.1635664288779232</v>
      </c>
    </row>
    <row r="9" spans="1:4" ht="16.5">
      <c r="A9" s="60" t="s">
        <v>24</v>
      </c>
      <c r="B9" s="61">
        <f>139.09+9953.43</f>
        <v>10092.52</v>
      </c>
      <c r="C9" s="62">
        <f>859+59455</f>
        <v>60314</v>
      </c>
      <c r="D9" s="63">
        <f t="shared" si="0"/>
        <v>0.16733295752229996</v>
      </c>
    </row>
    <row r="10" spans="1:4" ht="16.5">
      <c r="A10" s="60" t="s">
        <v>43</v>
      </c>
      <c r="B10" s="61">
        <f>152.21+13051.4</f>
        <v>13203.609999999999</v>
      </c>
      <c r="C10" s="62">
        <f>80013</f>
        <v>80013</v>
      </c>
      <c r="D10" s="63">
        <f t="shared" si="0"/>
        <v>0.16501830952470223</v>
      </c>
    </row>
    <row r="11" spans="1:4" ht="16.5">
      <c r="A11" s="60" t="s">
        <v>28</v>
      </c>
      <c r="B11" s="61">
        <f>9844.72</f>
        <v>9844.72</v>
      </c>
      <c r="C11" s="62">
        <f>58360</f>
        <v>58360</v>
      </c>
      <c r="D11" s="63">
        <f t="shared" si="0"/>
        <v>0.1686895133653187</v>
      </c>
    </row>
    <row r="12" spans="1:4" ht="16.5">
      <c r="A12" s="60" t="s">
        <v>30</v>
      </c>
      <c r="B12" s="61">
        <f>116.54+11653.37</f>
        <v>11769.910000000002</v>
      </c>
      <c r="C12" s="62">
        <f>753+71395</f>
        <v>72148</v>
      </c>
      <c r="D12" s="63">
        <f t="shared" si="0"/>
        <v>0.16313563785551924</v>
      </c>
    </row>
    <row r="13" spans="1:4" ht="16.5">
      <c r="A13" s="60" t="s">
        <v>32</v>
      </c>
      <c r="B13" s="61">
        <f>876.49+10532.48</f>
        <v>11408.97</v>
      </c>
      <c r="C13" s="62">
        <f>5214+61002</f>
        <v>66216</v>
      </c>
      <c r="D13" s="63">
        <f t="shared" si="0"/>
        <v>0.17229929322218193</v>
      </c>
    </row>
    <row r="14" spans="1:4" ht="16.5">
      <c r="A14" s="60" t="s">
        <v>34</v>
      </c>
      <c r="B14" s="61">
        <f>12471.58</f>
        <v>12471.58</v>
      </c>
      <c r="C14" s="62">
        <f>76591</f>
        <v>76591</v>
      </c>
      <c r="D14" s="63">
        <f t="shared" si="0"/>
        <v>0.16283349218576595</v>
      </c>
    </row>
    <row r="15" spans="1:4" ht="15.75">
      <c r="A15" s="66" t="s">
        <v>36</v>
      </c>
      <c r="B15" s="67">
        <f>SUM(B3:B14)</f>
        <v>148180.92</v>
      </c>
      <c r="C15" s="68">
        <f>SUM(C3:C14)</f>
        <v>890430</v>
      </c>
      <c r="D15" s="69">
        <f t="shared" si="0"/>
        <v>0.1664150129712611</v>
      </c>
    </row>
    <row r="16" spans="1:4" ht="1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4" sqref="C14"/>
    </sheetView>
  </sheetViews>
  <sheetFormatPr defaultColWidth="10.28125" defaultRowHeight="12.75"/>
  <cols>
    <col min="1" max="1" width="20.140625" style="0" customWidth="1"/>
    <col min="2" max="3" width="18.7109375" style="0" customWidth="1"/>
    <col min="4" max="4" width="11.57421875" style="0" customWidth="1"/>
    <col min="5" max="16384" width="11.00390625" style="0" customWidth="1"/>
  </cols>
  <sheetData>
    <row r="1" spans="1:4" ht="15.75">
      <c r="A1" s="55"/>
      <c r="B1" s="71" t="s">
        <v>49</v>
      </c>
      <c r="C1" s="71"/>
      <c r="D1" s="73"/>
    </row>
    <row r="2" spans="1:4" ht="15.75">
      <c r="A2" s="55" t="s">
        <v>8</v>
      </c>
      <c r="B2" s="58" t="s">
        <v>9</v>
      </c>
      <c r="C2" s="59" t="s">
        <v>10</v>
      </c>
      <c r="D2" s="57" t="s">
        <v>39</v>
      </c>
    </row>
    <row r="3" spans="1:4" ht="16.5">
      <c r="A3" s="60" t="s">
        <v>13</v>
      </c>
      <c r="B3" s="61">
        <f>2059.26+7194.26+3270.63+1756.86</f>
        <v>14281.010000000002</v>
      </c>
      <c r="C3" s="72">
        <f>1679+4600+1438+40267+12129+1444+2610+2191</f>
        <v>66358</v>
      </c>
      <c r="D3" s="79">
        <f aca="true" t="shared" si="0" ref="D3:D15">B3/C3</f>
        <v>0.21521157961361104</v>
      </c>
    </row>
    <row r="4" spans="1:4" ht="16.5">
      <c r="A4" s="60" t="s">
        <v>15</v>
      </c>
      <c r="B4" s="61">
        <f>5032.16+2173.86+2028.03+1417.66</f>
        <v>10651.710000000001</v>
      </c>
      <c r="C4" s="72">
        <f>2676+5675+1355+2649+3735+4239+5676+15625+14463+949+1818+969</f>
        <v>59829</v>
      </c>
      <c r="D4" s="79">
        <f t="shared" si="0"/>
        <v>0.17803590232161662</v>
      </c>
    </row>
    <row r="5" spans="1:4" ht="16.5">
      <c r="A5" s="60" t="s">
        <v>17</v>
      </c>
      <c r="B5" s="61">
        <f>5159.67+2058.86+1286.76+2239.03</f>
        <v>10744.320000000002</v>
      </c>
      <c r="C5" s="72">
        <f>6374+15600+15539+2560+5069+1393+478+1518+842+2517+3745+4513</f>
        <v>60148</v>
      </c>
      <c r="D5" s="79">
        <f t="shared" si="0"/>
        <v>0.17863137593934963</v>
      </c>
    </row>
    <row r="6" spans="1:4" ht="16.5">
      <c r="A6" s="60" t="s">
        <v>19</v>
      </c>
      <c r="B6" s="61">
        <f>1722.77+4783.28+2050.62</f>
        <v>8556.669999999998</v>
      </c>
      <c r="C6" s="72">
        <f>2548+3376+1253+7846+11507+15624+1263+3605+4176</f>
        <v>51198</v>
      </c>
      <c r="D6" s="79">
        <f t="shared" si="0"/>
        <v>0.16712898941364893</v>
      </c>
    </row>
    <row r="7" spans="1:4" ht="16.5">
      <c r="A7" s="60" t="s">
        <v>20</v>
      </c>
      <c r="B7" s="61">
        <f>2039.25+4457.7+1558.4+897.44</f>
        <v>8952.79</v>
      </c>
      <c r="C7" s="72">
        <f>1895+3136+973+7328+10929+14609+1219+3473+3951</f>
        <v>47513</v>
      </c>
      <c r="D7" s="79">
        <f t="shared" si="0"/>
        <v>0.18842821964514977</v>
      </c>
    </row>
    <row r="8" spans="1:4" ht="16.5">
      <c r="A8" s="60" t="s">
        <v>42</v>
      </c>
      <c r="B8" s="61">
        <f>2044.32+3101.74+895+5555.84</f>
        <v>11596.9</v>
      </c>
      <c r="C8" s="72">
        <f>9088+11796+14675+4959+7406+1319+1281+3429+3743</f>
        <v>57696</v>
      </c>
      <c r="D8" s="79">
        <f t="shared" si="0"/>
        <v>0.20100006932889627</v>
      </c>
    </row>
    <row r="9" spans="1:4" ht="16.5">
      <c r="A9" s="60" t="s">
        <v>24</v>
      </c>
      <c r="B9" s="61">
        <f>2091.64+5277.91+897.44+2526.14</f>
        <v>10793.13</v>
      </c>
      <c r="C9" s="72">
        <f>5552+4750+1197+8750+11355+16057+1247+3486+4235</f>
        <v>56629</v>
      </c>
      <c r="D9" s="79">
        <f t="shared" si="0"/>
        <v>0.19059368874604882</v>
      </c>
    </row>
    <row r="10" spans="1:4" ht="16.5">
      <c r="A10" s="60" t="s">
        <v>43</v>
      </c>
      <c r="B10" s="61">
        <f>897.44+2526.14+5277.91+2091.64</f>
        <v>10793.13</v>
      </c>
      <c r="C10" s="72">
        <f>50+50+50+50+50+468+5552+4750+1197+8750+11355+16057+1247+3486+4235</f>
        <v>57347</v>
      </c>
      <c r="D10" s="79">
        <f t="shared" si="0"/>
        <v>0.1882074040490348</v>
      </c>
    </row>
    <row r="11" spans="1:4" ht="16.5">
      <c r="A11" s="60" t="s">
        <v>28</v>
      </c>
      <c r="B11" s="61">
        <f>2058.27+4552.58+2844.19</f>
        <v>9455.04</v>
      </c>
      <c r="C11" s="72">
        <f>4296+5387+1220+6836+10522+14282+1146+3687+3742</f>
        <v>51118</v>
      </c>
      <c r="D11" s="79">
        <f t="shared" si="0"/>
        <v>0.1849649829805548</v>
      </c>
    </row>
    <row r="12" spans="1:4" ht="16.5">
      <c r="A12" s="60" t="s">
        <v>30</v>
      </c>
      <c r="B12" s="61">
        <v>10350.04</v>
      </c>
      <c r="C12" s="72">
        <v>51148</v>
      </c>
      <c r="D12" s="79">
        <f t="shared" si="0"/>
        <v>0.20235473527801676</v>
      </c>
    </row>
    <row r="13" spans="1:4" ht="16.5">
      <c r="A13" s="60" t="s">
        <v>32</v>
      </c>
      <c r="B13" s="61">
        <f>2106.17+5067.65+895+2191.25</f>
        <v>10260.07</v>
      </c>
      <c r="C13" s="72">
        <f>2798+4860+2291+5983+15017+16732+2810+3247+3933</f>
        <v>57671</v>
      </c>
      <c r="D13" s="79">
        <f t="shared" si="0"/>
        <v>0.1779069202892268</v>
      </c>
    </row>
    <row r="14" spans="1:4" ht="16.5">
      <c r="A14" s="60" t="s">
        <v>34</v>
      </c>
      <c r="B14" s="61">
        <f>897.44+2916.48+6401.06+2316.67</f>
        <v>12531.65</v>
      </c>
      <c r="C14" s="72">
        <f>3107+6720+6642+6936+18569+21878+2894+3781+4585</f>
        <v>75112</v>
      </c>
      <c r="D14" s="79">
        <f t="shared" si="0"/>
        <v>0.16683951965065502</v>
      </c>
    </row>
    <row r="15" spans="1:4" s="82" customFormat="1" ht="15.75">
      <c r="A15" s="66" t="s">
        <v>36</v>
      </c>
      <c r="B15" s="67">
        <f>SUM(B3:B14)</f>
        <v>128966.46000000002</v>
      </c>
      <c r="C15" s="80">
        <f>SUM(C3:C14)</f>
        <v>691767</v>
      </c>
      <c r="D15" s="81">
        <f t="shared" si="0"/>
        <v>0.1864304888784808</v>
      </c>
    </row>
    <row r="16" ht="15" customHeight="1">
      <c r="A16" s="70" t="s">
        <v>37</v>
      </c>
    </row>
    <row r="27" ht="14.25"/>
  </sheetData>
  <sheetProtection selectLockedCells="1" selectUnlockedCells="1"/>
  <mergeCells count="1">
    <mergeCell ref="B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14" sqref="C14"/>
    </sheetView>
  </sheetViews>
  <sheetFormatPr defaultColWidth="10.28125" defaultRowHeight="12.75"/>
  <cols>
    <col min="1" max="1" width="20.140625" style="0" customWidth="1"/>
    <col min="2" max="2" width="18.00390625" style="1" customWidth="1"/>
    <col min="3" max="3" width="17.421875" style="83" customWidth="1"/>
    <col min="4" max="4" width="10.140625" style="84" customWidth="1"/>
    <col min="5" max="16384" width="11.00390625" style="0" customWidth="1"/>
  </cols>
  <sheetData>
    <row r="1" spans="1:4" s="88" customFormat="1" ht="19.5">
      <c r="A1" s="85"/>
      <c r="B1" s="86" t="s">
        <v>7</v>
      </c>
      <c r="C1" s="86"/>
      <c r="D1" s="87"/>
    </row>
    <row r="2" spans="1:4" ht="18">
      <c r="A2" s="89" t="s">
        <v>8</v>
      </c>
      <c r="B2" s="90" t="s">
        <v>9</v>
      </c>
      <c r="C2" s="91" t="s">
        <v>10</v>
      </c>
      <c r="D2" s="92" t="s">
        <v>11</v>
      </c>
    </row>
    <row r="3" spans="1:4" s="93" customFormat="1" ht="16.5">
      <c r="A3" s="60" t="s">
        <v>12</v>
      </c>
      <c r="B3" s="61">
        <f>General!AE4+General!AE5</f>
        <v>817160.67</v>
      </c>
      <c r="C3" s="72">
        <f>General!AF4+General!AF5</f>
        <v>5143821</v>
      </c>
      <c r="D3" s="79">
        <f aca="true" t="shared" si="0" ref="D3:D15">B3/C3</f>
        <v>0.15886257900498482</v>
      </c>
    </row>
    <row r="4" spans="1:4" s="93" customFormat="1" ht="16.5">
      <c r="A4" s="60" t="s">
        <v>40</v>
      </c>
      <c r="B4" s="61">
        <f>General!AE6+General!AE7</f>
        <v>675117.22</v>
      </c>
      <c r="C4" s="72">
        <f>General!AF6+General!AF7</f>
        <v>4300879</v>
      </c>
      <c r="D4" s="79">
        <f t="shared" si="0"/>
        <v>0.15697191667098748</v>
      </c>
    </row>
    <row r="5" spans="1:4" s="93" customFormat="1" ht="16.5">
      <c r="A5" s="60" t="s">
        <v>16</v>
      </c>
      <c r="B5" s="61">
        <f>General!AE8+General!AE9</f>
        <v>644773.4</v>
      </c>
      <c r="C5" s="72">
        <f>General!AF8+General!AF9</f>
        <v>4158697.1695568124</v>
      </c>
      <c r="D5" s="79">
        <f t="shared" si="0"/>
        <v>0.15504216193474668</v>
      </c>
    </row>
    <row r="6" spans="1:4" s="93" customFormat="1" ht="16.5">
      <c r="A6" s="60" t="s">
        <v>41</v>
      </c>
      <c r="B6" s="61">
        <f>General!AE10+General!AE11</f>
        <v>619188.42</v>
      </c>
      <c r="C6" s="72">
        <f>General!AF10+General!AF11</f>
        <v>3684778.1658815313</v>
      </c>
      <c r="D6" s="79">
        <f t="shared" si="0"/>
        <v>0.16803953782978084</v>
      </c>
    </row>
    <row r="7" spans="1:4" s="93" customFormat="1" ht="16.5">
      <c r="A7" s="60" t="s">
        <v>20</v>
      </c>
      <c r="B7" s="61">
        <f>General!AE12+General!AE13</f>
        <v>570640.8700000001</v>
      </c>
      <c r="C7" s="72">
        <f>General!AF12+General!AF13</f>
        <v>3607830.1728746854</v>
      </c>
      <c r="D7" s="79">
        <f t="shared" si="0"/>
        <v>0.15816733123702406</v>
      </c>
    </row>
    <row r="8" spans="1:4" s="93" customFormat="1" ht="16.5">
      <c r="A8" s="60" t="s">
        <v>42</v>
      </c>
      <c r="B8" s="61">
        <f>General!AE14+General!AE15</f>
        <v>496475.06000000006</v>
      </c>
      <c r="C8" s="72">
        <f>General!AF14+General!AF15</f>
        <v>3139355.1635664287</v>
      </c>
      <c r="D8" s="79">
        <f t="shared" si="0"/>
        <v>0.15814555350786919</v>
      </c>
    </row>
    <row r="9" spans="1:4" s="93" customFormat="1" ht="16.5">
      <c r="A9" s="60" t="s">
        <v>24</v>
      </c>
      <c r="B9" s="61">
        <f>General!AE16+General!AE17</f>
        <v>426490.68000000005</v>
      </c>
      <c r="C9" s="72">
        <f>General!AF16+General!AF17</f>
        <v>3916455.1673329575</v>
      </c>
      <c r="D9" s="79">
        <f t="shared" si="0"/>
        <v>0.10889711787264841</v>
      </c>
    </row>
    <row r="10" spans="1:4" s="93" customFormat="1" ht="16.5">
      <c r="A10" s="60" t="s">
        <v>43</v>
      </c>
      <c r="B10" s="61">
        <f>General!AE18+General!AE19</f>
        <v>583682.3400000001</v>
      </c>
      <c r="C10" s="72">
        <f>General!AF18+General!AF19</f>
        <v>3640444.1650183094</v>
      </c>
      <c r="D10" s="79">
        <f t="shared" si="0"/>
        <v>0.160332726871273</v>
      </c>
    </row>
    <row r="11" spans="1:4" s="93" customFormat="1" ht="16.5">
      <c r="A11" s="60" t="s">
        <v>28</v>
      </c>
      <c r="B11" s="61">
        <f>General!AE20+General!AE21</f>
        <v>605582.41</v>
      </c>
      <c r="C11" s="72">
        <f>General!AF20+General!AF21</f>
        <v>3910541.1686895136</v>
      </c>
      <c r="D11" s="79">
        <f t="shared" si="0"/>
        <v>0.15485897830425874</v>
      </c>
    </row>
    <row r="12" spans="1:4" s="93" customFormat="1" ht="16.5">
      <c r="A12" s="60" t="s">
        <v>30</v>
      </c>
      <c r="B12" s="61">
        <f>General!AE22+General!AE23</f>
        <v>538107.91</v>
      </c>
      <c r="C12" s="72">
        <f>General!AF22+General!AF23</f>
        <v>3363985.163135638</v>
      </c>
      <c r="D12" s="79">
        <f t="shared" si="0"/>
        <v>0.15996143975213578</v>
      </c>
    </row>
    <row r="13" spans="1:4" s="93" customFormat="1" ht="16.5">
      <c r="A13" s="60" t="s">
        <v>32</v>
      </c>
      <c r="B13" s="61">
        <f>General!AE24+General!AE25</f>
        <v>732519.85</v>
      </c>
      <c r="C13" s="72">
        <f>General!AF24+General!AF25</f>
        <v>5221830</v>
      </c>
      <c r="D13" s="79">
        <f t="shared" si="0"/>
        <v>0.14028029445615808</v>
      </c>
    </row>
    <row r="14" spans="1:4" s="93" customFormat="1" ht="16.5">
      <c r="A14" s="60" t="s">
        <v>34</v>
      </c>
      <c r="B14" s="61">
        <f>General!AE26+General!AE27</f>
        <v>649054.22</v>
      </c>
      <c r="C14" s="72">
        <f>4022473</f>
        <v>4022473</v>
      </c>
      <c r="D14" s="79">
        <f t="shared" si="0"/>
        <v>0.16135701097310037</v>
      </c>
    </row>
    <row r="15" spans="1:4" ht="18">
      <c r="A15" s="94" t="s">
        <v>36</v>
      </c>
      <c r="B15" s="67">
        <f>SUM(B3:B14)</f>
        <v>7358793.05</v>
      </c>
      <c r="C15" s="80">
        <f>SUM(C3:C14)</f>
        <v>48111089.336055875</v>
      </c>
      <c r="D15" s="95">
        <f t="shared" si="0"/>
        <v>0.1529541972870089</v>
      </c>
    </row>
    <row r="16" spans="1:4" ht="15">
      <c r="A16" s="70" t="s">
        <v>37</v>
      </c>
      <c r="D16" s="54"/>
    </row>
  </sheetData>
  <sheetProtection selectLockedCells="1" selectUnlockedCells="1"/>
  <mergeCells count="1">
    <mergeCell ref="B1:C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9579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Faustino Carnicero Dantas</dc:creator>
  <cp:keywords/>
  <dc:description/>
  <cp:lastModifiedBy/>
  <cp:lastPrinted>2016-01-25T13:35:34Z</cp:lastPrinted>
  <dcterms:created xsi:type="dcterms:W3CDTF">2008-02-07T07:30:34Z</dcterms:created>
  <dcterms:modified xsi:type="dcterms:W3CDTF">2017-02-27T09:53:59Z</dcterms:modified>
  <cp:category/>
  <cp:version/>
  <cp:contentType/>
  <cp:contentStatus/>
  <cp:revision>59</cp:revision>
</cp:coreProperties>
</file>