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eneral" sheetId="1" r:id="rId1"/>
    <sheet name="Alumbrado público" sheetId="2" r:id="rId2"/>
    <sheet name="Dependencias" sheetId="3" r:id="rId3"/>
    <sheet name="C. Sociales" sheetId="4" r:id="rId4"/>
    <sheet name="Colegios" sheetId="5" r:id="rId5"/>
    <sheet name="Mercados" sheetId="6" r:id="rId6"/>
    <sheet name="Semáforos" sheetId="7" r:id="rId7"/>
    <sheet name="MEDIA TENSIÓN" sheetId="8" r:id="rId8"/>
    <sheet name="Resumen" sheetId="9" r:id="rId9"/>
  </sheets>
  <definedNames>
    <definedName name="_xlnm.Print_Titles" localSheetId="0">('General'!$A:$A,'General'!$2:$3)</definedName>
  </definedNames>
  <calcPr fullCalcOnLoad="1"/>
</workbook>
</file>

<file path=xl/sharedStrings.xml><?xml version="1.0" encoding="utf-8"?>
<sst xmlns="http://schemas.openxmlformats.org/spreadsheetml/2006/main" count="207" uniqueCount="50">
  <si>
    <t xml:space="preserve">           ALUMBRADO PUBLICO</t>
  </si>
  <si>
    <t xml:space="preserve">                  DEPENDENCIAS</t>
  </si>
  <si>
    <t xml:space="preserve">               CENTROS SOCIALES</t>
  </si>
  <si>
    <t xml:space="preserve">             COLEGIOS</t>
  </si>
  <si>
    <t xml:space="preserve">               MERCADOS</t>
  </si>
  <si>
    <t xml:space="preserve">  SEMÁFOROS</t>
  </si>
  <si>
    <t xml:space="preserve"> RESUMEN</t>
  </si>
  <si>
    <t>MES</t>
  </si>
  <si>
    <t>Importe</t>
  </si>
  <si>
    <t>Energia</t>
  </si>
  <si>
    <t>kwh</t>
  </si>
  <si>
    <t>€/kwh</t>
  </si>
  <si>
    <t xml:space="preserve">ENERO </t>
  </si>
  <si>
    <t>ENERO MT</t>
  </si>
  <si>
    <t>FEBRERO</t>
  </si>
  <si>
    <t>FEBRERO MT</t>
  </si>
  <si>
    <t xml:space="preserve">MARZO </t>
  </si>
  <si>
    <t>MARZO MT</t>
  </si>
  <si>
    <t>ABRIL</t>
  </si>
  <si>
    <t>ABRIL MT</t>
  </si>
  <si>
    <t xml:space="preserve">MAYO </t>
  </si>
  <si>
    <t>MAYO MT</t>
  </si>
  <si>
    <t xml:space="preserve">JUNIO </t>
  </si>
  <si>
    <t>JUNIO MT</t>
  </si>
  <si>
    <t xml:space="preserve">JULIO </t>
  </si>
  <si>
    <t>JULIO MT</t>
  </si>
  <si>
    <t>AGOSTO</t>
  </si>
  <si>
    <t>AGOSTO MT</t>
  </si>
  <si>
    <t xml:space="preserve">SEPTIEMBRE </t>
  </si>
  <si>
    <t>SEPTIEMBRE MT</t>
  </si>
  <si>
    <t xml:space="preserve">OCTUBRE </t>
  </si>
  <si>
    <t>OCTUBRE MT</t>
  </si>
  <si>
    <t xml:space="preserve">NOVIEMBRE </t>
  </si>
  <si>
    <t>NOVIEMBRE TM</t>
  </si>
  <si>
    <t xml:space="preserve">DICIEMBRE </t>
  </si>
  <si>
    <t>DICIEMBRE MT</t>
  </si>
  <si>
    <t>TOTAL</t>
  </si>
  <si>
    <t>Energía en Kwh</t>
  </si>
  <si>
    <t xml:space="preserve">       ALUMBRADO PUBLICO</t>
  </si>
  <si>
    <t xml:space="preserve">FEBRERO </t>
  </si>
  <si>
    <t xml:space="preserve">ABRIL </t>
  </si>
  <si>
    <t>JUNIO</t>
  </si>
  <si>
    <t xml:space="preserve">AGOSTO </t>
  </si>
  <si>
    <t>DEPENDENCIAS</t>
  </si>
  <si>
    <t>CENTROS SOCIALES</t>
  </si>
  <si>
    <t>COLEGIOS</t>
  </si>
  <si>
    <t>MERCADOS</t>
  </si>
  <si>
    <t>SEMÁFOROS</t>
  </si>
  <si>
    <t>MEDIA TENSIÓN</t>
  </si>
  <si>
    <t>RESUMEN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</si>
</sst>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€ &quot;;#,##0.00&quot; € &quot;;\-#&quot; € &quot;;@\ "/>
    <numFmt numFmtId="166" formatCode="#,##0.00&quot;    &quot;;#,##0.00&quot;    &quot;;\-#&quot;    &quot;;@\ "/>
    <numFmt numFmtId="167" formatCode="#,##0&quot;    &quot;;#,##0&quot;    &quot;;\-#&quot;    &quot;;@\ "/>
    <numFmt numFmtId="168" formatCode="#,##0.0000&quot;   &quot;"/>
    <numFmt numFmtId="169" formatCode="#,##0.00&quot; €&quot;;[RED]\-#,##0.00&quot; €&quot;"/>
    <numFmt numFmtId="170" formatCode="#,##0.0000&quot; € &quot;;#,##0.0000&quot; € &quot;;\-#&quot; € &quot;;@\ "/>
  </numFmts>
  <fonts count="1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89">
    <xf numFmtId="164" fontId="0" fillId="0" borderId="0" xfId="0" applyAlignment="1">
      <alignment/>
    </xf>
    <xf numFmtId="165" fontId="0" fillId="0" borderId="0" xfId="20" applyFont="1" applyFill="1" applyBorder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 horizontal="center"/>
      <protection/>
    </xf>
    <xf numFmtId="168" fontId="0" fillId="0" borderId="0" xfId="20" applyNumberFormat="1" applyFont="1" applyFill="1" applyBorder="1" applyAlignment="1" applyProtection="1">
      <alignment horizontal="center"/>
      <protection/>
    </xf>
    <xf numFmtId="167" fontId="0" fillId="0" borderId="0" xfId="15" applyNumberFormat="1" applyFont="1" applyFill="1" applyBorder="1" applyAlignment="1" applyProtection="1">
      <alignment/>
      <protection/>
    </xf>
    <xf numFmtId="168" fontId="0" fillId="0" borderId="0" xfId="20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4" fontId="0" fillId="2" borderId="1" xfId="0" applyFill="1" applyBorder="1" applyAlignment="1">
      <alignment/>
    </xf>
    <xf numFmtId="165" fontId="0" fillId="2" borderId="1" xfId="20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/>
    </xf>
    <xf numFmtId="165" fontId="1" fillId="0" borderId="0" xfId="17" applyFont="1" applyFill="1" applyBorder="1" applyAlignment="1" applyProtection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8" fontId="1" fillId="0" borderId="0" xfId="20" applyNumberFormat="1" applyFont="1" applyFill="1" applyBorder="1" applyAlignment="1" applyProtection="1">
      <alignment horizontal="center"/>
      <protection/>
    </xf>
    <xf numFmtId="165" fontId="1" fillId="2" borderId="1" xfId="20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20" applyFont="1" applyFill="1" applyBorder="1" applyAlignment="1" applyProtection="1">
      <alignment horizontal="center"/>
      <protection/>
    </xf>
    <xf numFmtId="167" fontId="1" fillId="0" borderId="1" xfId="15" applyNumberFormat="1" applyFont="1" applyFill="1" applyBorder="1" applyAlignment="1" applyProtection="1">
      <alignment horizontal="center"/>
      <protection/>
    </xf>
    <xf numFmtId="168" fontId="1" fillId="0" borderId="1" xfId="20" applyNumberFormat="1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1" xfId="20" applyFont="1" applyFill="1" applyBorder="1" applyAlignment="1" applyProtection="1">
      <alignment horizontal="center"/>
      <protection/>
    </xf>
    <xf numFmtId="167" fontId="2" fillId="0" borderId="1" xfId="15" applyNumberFormat="1" applyFont="1" applyFill="1" applyBorder="1" applyAlignment="1" applyProtection="1">
      <alignment horizontal="center"/>
      <protection/>
    </xf>
    <xf numFmtId="168" fontId="2" fillId="0" borderId="1" xfId="20" applyNumberFormat="1" applyFont="1" applyFill="1" applyBorder="1" applyAlignment="1" applyProtection="1">
      <alignment horizontal="center"/>
      <protection/>
    </xf>
    <xf numFmtId="165" fontId="2" fillId="2" borderId="1" xfId="20" applyFont="1" applyFill="1" applyBorder="1" applyAlignment="1" applyProtection="1">
      <alignment horizontal="center"/>
      <protection/>
    </xf>
    <xf numFmtId="169" fontId="2" fillId="0" borderId="1" xfId="20" applyNumberFormat="1" applyFont="1" applyFill="1" applyBorder="1" applyAlignment="1" applyProtection="1">
      <alignment/>
      <protection/>
    </xf>
    <xf numFmtId="167" fontId="2" fillId="0" borderId="1" xfId="15" applyNumberFormat="1" applyFont="1" applyFill="1" applyBorder="1" applyAlignment="1" applyProtection="1">
      <alignment/>
      <protection/>
    </xf>
    <xf numFmtId="165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4" fontId="2" fillId="2" borderId="1" xfId="0" applyFont="1" applyFill="1" applyBorder="1" applyAlignment="1">
      <alignment/>
    </xf>
    <xf numFmtId="165" fontId="2" fillId="0" borderId="1" xfId="20" applyFont="1" applyFill="1" applyBorder="1" applyAlignment="1" applyProtection="1">
      <alignment/>
      <protection/>
    </xf>
    <xf numFmtId="167" fontId="2" fillId="0" borderId="1" xfId="15" applyNumberFormat="1" applyFont="1" applyFill="1" applyBorder="1" applyAlignment="1" applyProtection="1">
      <alignment horizontal="right"/>
      <protection/>
    </xf>
    <xf numFmtId="165" fontId="2" fillId="2" borderId="1" xfId="20" applyFont="1" applyFill="1" applyBorder="1" applyAlignment="1" applyProtection="1">
      <alignment horizontal="right"/>
      <protection/>
    </xf>
    <xf numFmtId="165" fontId="2" fillId="2" borderId="1" xfId="20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5" fontId="1" fillId="0" borderId="0" xfId="20" applyFont="1" applyFill="1" applyBorder="1" applyAlignment="1" applyProtection="1">
      <alignment horizontal="right"/>
      <protection/>
    </xf>
    <xf numFmtId="167" fontId="1" fillId="0" borderId="0" xfId="15" applyNumberFormat="1" applyFont="1" applyFill="1" applyBorder="1" applyAlignment="1" applyProtection="1">
      <alignment horizontal="right"/>
      <protection/>
    </xf>
    <xf numFmtId="168" fontId="1" fillId="0" borderId="0" xfId="20" applyNumberFormat="1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/>
    </xf>
    <xf numFmtId="165" fontId="1" fillId="0" borderId="0" xfId="20" applyFont="1" applyFill="1" applyBorder="1" applyAlignment="1" applyProtection="1">
      <alignment/>
      <protection/>
    </xf>
    <xf numFmtId="167" fontId="3" fillId="0" borderId="0" xfId="15" applyNumberFormat="1" applyFont="1" applyFill="1" applyBorder="1" applyAlignment="1" applyProtection="1">
      <alignment/>
      <protection/>
    </xf>
    <xf numFmtId="168" fontId="3" fillId="0" borderId="0" xfId="20" applyNumberFormat="1" applyFont="1" applyFill="1" applyBorder="1" applyAlignment="1" applyProtection="1">
      <alignment/>
      <protection/>
    </xf>
    <xf numFmtId="167" fontId="1" fillId="0" borderId="0" xfId="15" applyNumberFormat="1" applyFont="1" applyFill="1" applyBorder="1" applyAlignment="1" applyProtection="1">
      <alignment/>
      <protection/>
    </xf>
    <xf numFmtId="168" fontId="1" fillId="0" borderId="0" xfId="20" applyNumberFormat="1" applyFont="1" applyFill="1" applyBorder="1" applyAlignment="1" applyProtection="1">
      <alignment/>
      <protection/>
    </xf>
    <xf numFmtId="169" fontId="1" fillId="0" borderId="0" xfId="2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70" fontId="5" fillId="0" borderId="0" xfId="20" applyNumberFormat="1" applyFont="1" applyFill="1" applyBorder="1" applyAlignment="1" applyProtection="1">
      <alignment/>
      <protection/>
    </xf>
    <xf numFmtId="164" fontId="6" fillId="0" borderId="1" xfId="0" applyFont="1" applyBorder="1" applyAlignment="1">
      <alignment/>
    </xf>
    <xf numFmtId="165" fontId="6" fillId="0" borderId="1" xfId="17" applyFont="1" applyFill="1" applyBorder="1" applyAlignment="1" applyProtection="1">
      <alignment/>
      <protection/>
    </xf>
    <xf numFmtId="170" fontId="6" fillId="0" borderId="1" xfId="20" applyNumberFormat="1" applyFont="1" applyFill="1" applyBorder="1" applyAlignment="1" applyProtection="1">
      <alignment horizontal="center"/>
      <protection/>
    </xf>
    <xf numFmtId="165" fontId="6" fillId="0" borderId="1" xfId="20" applyFont="1" applyFill="1" applyBorder="1" applyAlignment="1" applyProtection="1">
      <alignment horizontal="center"/>
      <protection/>
    </xf>
    <xf numFmtId="167" fontId="6" fillId="0" borderId="1" xfId="15" applyNumberFormat="1" applyFont="1" applyFill="1" applyBorder="1" applyAlignment="1" applyProtection="1">
      <alignment horizontal="center"/>
      <protection/>
    </xf>
    <xf numFmtId="164" fontId="5" fillId="0" borderId="1" xfId="0" applyFont="1" applyBorder="1" applyAlignment="1">
      <alignment/>
    </xf>
    <xf numFmtId="165" fontId="5" fillId="0" borderId="1" xfId="20" applyFont="1" applyFill="1" applyBorder="1" applyAlignment="1" applyProtection="1">
      <alignment/>
      <protection/>
    </xf>
    <xf numFmtId="167" fontId="5" fillId="0" borderId="1" xfId="15" applyNumberFormat="1" applyFont="1" applyFill="1" applyBorder="1" applyAlignment="1" applyProtection="1">
      <alignment/>
      <protection/>
    </xf>
    <xf numFmtId="168" fontId="5" fillId="0" borderId="1" xfId="20" applyNumberFormat="1" applyFont="1" applyFill="1" applyBorder="1" applyAlignment="1" applyProtection="1">
      <alignment horizontal="center"/>
      <protection/>
    </xf>
    <xf numFmtId="167" fontId="5" fillId="0" borderId="1" xfId="15" applyNumberFormat="1" applyFont="1" applyFill="1" applyBorder="1" applyAlignment="1" applyProtection="1">
      <alignment horizontal="right"/>
      <protection/>
    </xf>
    <xf numFmtId="164" fontId="6" fillId="0" borderId="0" xfId="0" applyFont="1" applyBorder="1" applyAlignment="1">
      <alignment/>
    </xf>
    <xf numFmtId="165" fontId="6" fillId="0" borderId="0" xfId="20" applyFont="1" applyFill="1" applyBorder="1" applyAlignment="1" applyProtection="1">
      <alignment/>
      <protection/>
    </xf>
    <xf numFmtId="167" fontId="6" fillId="0" borderId="0" xfId="15" applyNumberFormat="1" applyFont="1" applyFill="1" applyBorder="1" applyAlignment="1" applyProtection="1">
      <alignment/>
      <protection/>
    </xf>
    <xf numFmtId="168" fontId="6" fillId="0" borderId="0" xfId="20" applyNumberFormat="1" applyFont="1" applyFill="1" applyBorder="1" applyAlignment="1" applyProtection="1">
      <alignment horizontal="center"/>
      <protection/>
    </xf>
    <xf numFmtId="164" fontId="4" fillId="0" borderId="0" xfId="0" applyFont="1" applyBorder="1" applyAlignment="1">
      <alignment/>
    </xf>
    <xf numFmtId="164" fontId="6" fillId="0" borderId="1" xfId="0" applyFont="1" applyBorder="1" applyAlignment="1">
      <alignment horizontal="center"/>
    </xf>
    <xf numFmtId="167" fontId="5" fillId="0" borderId="1" xfId="15" applyNumberFormat="1" applyFont="1" applyFill="1" applyBorder="1" applyAlignment="1" applyProtection="1">
      <alignment horizontal="center"/>
      <protection/>
    </xf>
    <xf numFmtId="168" fontId="6" fillId="0" borderId="1" xfId="20" applyNumberFormat="1" applyFont="1" applyFill="1" applyBorder="1" applyAlignment="1" applyProtection="1">
      <alignment horizontal="center"/>
      <protection/>
    </xf>
    <xf numFmtId="165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8" fontId="5" fillId="0" borderId="1" xfId="20" applyNumberFormat="1" applyFont="1" applyFill="1" applyBorder="1" applyAlignment="1" applyProtection="1">
      <alignment horizontal="right"/>
      <protection/>
    </xf>
    <xf numFmtId="167" fontId="6" fillId="0" borderId="0" xfId="15" applyNumberFormat="1" applyFont="1" applyFill="1" applyBorder="1" applyAlignment="1" applyProtection="1">
      <alignment horizontal="center"/>
      <protection/>
    </xf>
    <xf numFmtId="168" fontId="6" fillId="0" borderId="0" xfId="20" applyNumberFormat="1" applyFont="1" applyFill="1" applyBorder="1" applyAlignment="1" applyProtection="1">
      <alignment horizontal="right"/>
      <protection/>
    </xf>
    <xf numFmtId="164" fontId="5" fillId="0" borderId="0" xfId="0" applyFont="1" applyAlignment="1">
      <alignment/>
    </xf>
    <xf numFmtId="164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8" fontId="8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4" fontId="9" fillId="0" borderId="1" xfId="0" applyFont="1" applyBorder="1" applyAlignment="1">
      <alignment/>
    </xf>
    <xf numFmtId="165" fontId="9" fillId="0" borderId="1" xfId="20" applyFont="1" applyFill="1" applyBorder="1" applyAlignment="1" applyProtection="1">
      <alignment horizontal="center"/>
      <protection/>
    </xf>
    <xf numFmtId="167" fontId="9" fillId="0" borderId="1" xfId="15" applyNumberFormat="1" applyFont="1" applyFill="1" applyBorder="1" applyAlignment="1" applyProtection="1">
      <alignment horizontal="center"/>
      <protection/>
    </xf>
    <xf numFmtId="170" fontId="9" fillId="0" borderId="1" xfId="20" applyNumberFormat="1" applyFont="1" applyFill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9" fillId="0" borderId="0" xfId="0" applyFont="1" applyBorder="1" applyAlignment="1">
      <alignment/>
    </xf>
    <xf numFmtId="168" fontId="6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28" sqref="AC28"/>
    </sheetView>
  </sheetViews>
  <sheetFormatPr defaultColWidth="10.28125" defaultRowHeight="14.25" customHeight="1"/>
  <cols>
    <col min="1" max="1" width="13.28125" style="0" customWidth="1"/>
    <col min="2" max="2" width="0.85546875" style="0" customWidth="1"/>
    <col min="3" max="3" width="13.28125" style="1" customWidth="1"/>
    <col min="4" max="4" width="11.421875" style="2" customWidth="1"/>
    <col min="5" max="5" width="8.421875" style="3" customWidth="1"/>
    <col min="6" max="6" width="0.85546875" style="1" customWidth="1"/>
    <col min="7" max="7" width="12.28125" style="1" customWidth="1"/>
    <col min="8" max="8" width="12.57421875" style="4" customWidth="1"/>
    <col min="9" max="9" width="7.8515625" style="5" customWidth="1"/>
    <col min="10" max="10" width="0.85546875" style="1" customWidth="1"/>
    <col min="11" max="11" width="11.140625" style="1" customWidth="1"/>
    <col min="12" max="12" width="11.421875" style="4" customWidth="1"/>
    <col min="13" max="13" width="7.8515625" style="5" customWidth="1"/>
    <col min="14" max="14" width="0.85546875" style="1" customWidth="1"/>
    <col min="15" max="15" width="12.421875" style="1" customWidth="1"/>
    <col min="16" max="16" width="11.421875" style="4" customWidth="1"/>
    <col min="17" max="17" width="7.8515625" style="5" customWidth="1"/>
    <col min="18" max="18" width="0.85546875" style="1" customWidth="1"/>
    <col min="19" max="19" width="11.140625" style="1" customWidth="1"/>
    <col min="20" max="20" width="10.00390625" style="4" customWidth="1"/>
    <col min="21" max="21" width="7.8515625" style="5" customWidth="1"/>
    <col min="22" max="22" width="0.85546875" style="1" customWidth="1"/>
    <col min="23" max="23" width="11.140625" style="1" customWidth="1"/>
    <col min="24" max="24" width="10.00390625" style="4" customWidth="1"/>
    <col min="25" max="25" width="7.8515625" style="5" customWidth="1"/>
    <col min="26" max="26" width="0.85546875" style="1" customWidth="1"/>
    <col min="27" max="27" width="14.421875" style="0" customWidth="1"/>
    <col min="28" max="28" width="13.28125" style="0" customWidth="1"/>
    <col min="29" max="29" width="8.140625" style="6" customWidth="1"/>
    <col min="30" max="30" width="0.85546875" style="0" customWidth="1"/>
    <col min="31" max="16384" width="11.00390625" style="0" customWidth="1"/>
  </cols>
  <sheetData>
    <row r="1" spans="2:30" ht="12.75" customHeight="1">
      <c r="B1" s="7"/>
      <c r="F1" s="8"/>
      <c r="J1" s="8"/>
      <c r="N1" s="8"/>
      <c r="R1" s="8"/>
      <c r="V1" s="8"/>
      <c r="Z1" s="8"/>
      <c r="AD1" s="7"/>
    </row>
    <row r="2" spans="1:30" ht="12.75" customHeight="1">
      <c r="A2" s="9"/>
      <c r="B2" s="10"/>
      <c r="C2" s="11" t="s">
        <v>0</v>
      </c>
      <c r="D2" s="12"/>
      <c r="E2" s="13"/>
      <c r="F2" s="14"/>
      <c r="G2" s="15" t="s">
        <v>1</v>
      </c>
      <c r="H2" s="15"/>
      <c r="I2" s="13"/>
      <c r="J2" s="14"/>
      <c r="K2" s="15" t="s">
        <v>2</v>
      </c>
      <c r="L2" s="15"/>
      <c r="M2" s="13"/>
      <c r="N2" s="14"/>
      <c r="O2" s="15" t="s">
        <v>3</v>
      </c>
      <c r="P2" s="15"/>
      <c r="Q2" s="13"/>
      <c r="R2" s="14"/>
      <c r="S2" s="15" t="s">
        <v>4</v>
      </c>
      <c r="T2" s="15"/>
      <c r="U2" s="13"/>
      <c r="V2" s="14"/>
      <c r="W2" s="15" t="s">
        <v>5</v>
      </c>
      <c r="X2" s="15"/>
      <c r="Y2" s="15"/>
      <c r="Z2" s="16"/>
      <c r="AA2" s="15" t="s">
        <v>6</v>
      </c>
      <c r="AB2" s="15"/>
      <c r="AC2" s="15"/>
      <c r="AD2" s="7"/>
    </row>
    <row r="3" spans="1:30" ht="12.75" customHeight="1">
      <c r="A3" s="17" t="s">
        <v>7</v>
      </c>
      <c r="B3" s="10"/>
      <c r="C3" s="18" t="s">
        <v>8</v>
      </c>
      <c r="D3" s="19" t="s">
        <v>9</v>
      </c>
      <c r="E3" s="20" t="s">
        <v>10</v>
      </c>
      <c r="F3" s="14"/>
      <c r="G3" s="18" t="s">
        <v>8</v>
      </c>
      <c r="H3" s="19" t="s">
        <v>9</v>
      </c>
      <c r="I3" s="20" t="s">
        <v>10</v>
      </c>
      <c r="J3" s="14"/>
      <c r="K3" s="18" t="s">
        <v>8</v>
      </c>
      <c r="L3" s="19" t="s">
        <v>9</v>
      </c>
      <c r="M3" s="20" t="s">
        <v>10</v>
      </c>
      <c r="N3" s="14"/>
      <c r="O3" s="18" t="s">
        <v>8</v>
      </c>
      <c r="P3" s="19" t="s">
        <v>9</v>
      </c>
      <c r="Q3" s="20" t="s">
        <v>10</v>
      </c>
      <c r="R3" s="14"/>
      <c r="S3" s="18" t="s">
        <v>8</v>
      </c>
      <c r="T3" s="19" t="s">
        <v>9</v>
      </c>
      <c r="U3" s="20" t="s">
        <v>10</v>
      </c>
      <c r="V3" s="14"/>
      <c r="W3" s="18" t="s">
        <v>8</v>
      </c>
      <c r="X3" s="19" t="s">
        <v>9</v>
      </c>
      <c r="Y3" s="20" t="s">
        <v>10</v>
      </c>
      <c r="Z3" s="14"/>
      <c r="AA3" s="18" t="s">
        <v>8</v>
      </c>
      <c r="AB3" s="21" t="s">
        <v>9</v>
      </c>
      <c r="AC3" s="20" t="s">
        <v>11</v>
      </c>
      <c r="AD3" s="7"/>
    </row>
    <row r="4" spans="1:30" ht="14.25" customHeight="1">
      <c r="A4" s="22" t="s">
        <v>12</v>
      </c>
      <c r="B4" s="10"/>
      <c r="C4" s="23">
        <v>437475.66</v>
      </c>
      <c r="D4" s="24">
        <v>2923611</v>
      </c>
      <c r="E4" s="25">
        <f>C4/D4</f>
        <v>0.14963538582937333</v>
      </c>
      <c r="F4" s="26"/>
      <c r="G4" s="23">
        <v>133737.87</v>
      </c>
      <c r="H4" s="24">
        <v>685133</v>
      </c>
      <c r="I4" s="25">
        <f aca="true" t="shared" si="0" ref="I4:I12">G4/H4</f>
        <v>0.1951998663033309</v>
      </c>
      <c r="J4" s="26"/>
      <c r="K4" s="23">
        <v>52861.58</v>
      </c>
      <c r="L4" s="24">
        <v>260461</v>
      </c>
      <c r="M4" s="25">
        <f>K4/L4</f>
        <v>0.20295391632528478</v>
      </c>
      <c r="N4" s="26"/>
      <c r="O4" s="23">
        <v>82245.46</v>
      </c>
      <c r="P4" s="24">
        <v>392728</v>
      </c>
      <c r="Q4" s="25">
        <f>O4/P4</f>
        <v>0.2094209223686623</v>
      </c>
      <c r="R4" s="26"/>
      <c r="S4" s="23">
        <v>7971.19</v>
      </c>
      <c r="T4" s="24">
        <v>36726</v>
      </c>
      <c r="U4" s="25">
        <f>S4/T4</f>
        <v>0.21704487284212817</v>
      </c>
      <c r="V4" s="26"/>
      <c r="W4" s="27">
        <v>11239.54</v>
      </c>
      <c r="X4" s="28">
        <v>64706</v>
      </c>
      <c r="Y4" s="25">
        <f>W4/X4</f>
        <v>0.17370166599697093</v>
      </c>
      <c r="Z4" s="26"/>
      <c r="AA4" s="29">
        <f aca="true" t="shared" si="1" ref="AA4:AA12">C4+G4+K4+O4+S4+W4</f>
        <v>725531.2999999999</v>
      </c>
      <c r="AB4" s="30">
        <f aca="true" t="shared" si="2" ref="AB4:AB12">D4+H4+L4+P4+T4+X4</f>
        <v>4363365</v>
      </c>
      <c r="AC4" s="25">
        <f aca="true" t="shared" si="3" ref="AC4:AC12">AA4/AB4</f>
        <v>0.1662779299921047</v>
      </c>
      <c r="AD4" s="7"/>
    </row>
    <row r="5" spans="1:30" ht="14.25" customHeight="1">
      <c r="A5" s="22" t="s">
        <v>13</v>
      </c>
      <c r="B5" s="10"/>
      <c r="C5" s="23"/>
      <c r="D5" s="24"/>
      <c r="E5" s="25"/>
      <c r="F5" s="26"/>
      <c r="G5" s="23">
        <v>34925.89</v>
      </c>
      <c r="H5" s="24">
        <v>127633</v>
      </c>
      <c r="I5" s="25">
        <f t="shared" si="0"/>
        <v>0.27364310170567174</v>
      </c>
      <c r="J5" s="26"/>
      <c r="K5" s="23"/>
      <c r="L5" s="24"/>
      <c r="M5" s="25"/>
      <c r="N5" s="26"/>
      <c r="O5" s="23"/>
      <c r="P5" s="24"/>
      <c r="Q5" s="25"/>
      <c r="R5" s="26"/>
      <c r="S5" s="23"/>
      <c r="T5" s="24"/>
      <c r="U5" s="25"/>
      <c r="V5" s="26"/>
      <c r="W5" s="27"/>
      <c r="X5" s="28"/>
      <c r="Y5" s="25"/>
      <c r="Z5" s="26"/>
      <c r="AA5" s="29">
        <f t="shared" si="1"/>
        <v>34925.89</v>
      </c>
      <c r="AB5" s="30">
        <f t="shared" si="2"/>
        <v>127633</v>
      </c>
      <c r="AC5" s="25">
        <f t="shared" si="3"/>
        <v>0.27364310170567174</v>
      </c>
      <c r="AD5" s="7"/>
    </row>
    <row r="6" spans="1:30" ht="14.25" customHeight="1">
      <c r="A6" s="22" t="s">
        <v>14</v>
      </c>
      <c r="B6" s="31"/>
      <c r="C6" s="32">
        <v>476684.31</v>
      </c>
      <c r="D6" s="33">
        <v>3205423</v>
      </c>
      <c r="E6" s="25">
        <f>C6/D6</f>
        <v>0.14871182680101816</v>
      </c>
      <c r="F6" s="34"/>
      <c r="G6" s="32">
        <v>128462.83</v>
      </c>
      <c r="H6" s="24">
        <v>661465</v>
      </c>
      <c r="I6" s="25">
        <f t="shared" si="0"/>
        <v>0.19420956513194199</v>
      </c>
      <c r="J6" s="35"/>
      <c r="K6" s="32">
        <v>64064.32</v>
      </c>
      <c r="L6" s="24">
        <v>314958</v>
      </c>
      <c r="M6" s="25">
        <f>K6/L6</f>
        <v>0.20340591443938558</v>
      </c>
      <c r="N6" s="35"/>
      <c r="O6" s="32">
        <v>114287.54</v>
      </c>
      <c r="P6" s="28">
        <v>606051</v>
      </c>
      <c r="Q6" s="25">
        <f>O6/P6</f>
        <v>0.18857742995226473</v>
      </c>
      <c r="R6" s="35"/>
      <c r="S6" s="32">
        <v>4062.11</v>
      </c>
      <c r="T6" s="28">
        <v>15169</v>
      </c>
      <c r="U6" s="25">
        <f>S6/T6</f>
        <v>0.26779023007449404</v>
      </c>
      <c r="V6" s="35"/>
      <c r="W6" s="29">
        <v>10734.98</v>
      </c>
      <c r="X6" s="30">
        <v>63921</v>
      </c>
      <c r="Y6" s="25">
        <f>W6/X6</f>
        <v>0.16794136512257318</v>
      </c>
      <c r="Z6" s="35"/>
      <c r="AA6" s="29">
        <f t="shared" si="1"/>
        <v>798296.09</v>
      </c>
      <c r="AB6" s="30">
        <f t="shared" si="2"/>
        <v>4866987</v>
      </c>
      <c r="AC6" s="25">
        <f t="shared" si="3"/>
        <v>0.16402264686550425</v>
      </c>
      <c r="AD6" s="7"/>
    </row>
    <row r="7" spans="1:30" ht="14.25" customHeight="1">
      <c r="A7" s="22" t="s">
        <v>15</v>
      </c>
      <c r="B7" s="31"/>
      <c r="C7" s="32"/>
      <c r="D7" s="33"/>
      <c r="E7" s="25"/>
      <c r="F7" s="34"/>
      <c r="G7" s="32">
        <v>32615.68</v>
      </c>
      <c r="H7" s="33">
        <v>112702</v>
      </c>
      <c r="I7" s="25">
        <f t="shared" si="0"/>
        <v>0.2893975262195879</v>
      </c>
      <c r="J7" s="35"/>
      <c r="K7" s="32"/>
      <c r="L7" s="24"/>
      <c r="M7" s="25"/>
      <c r="N7" s="35"/>
      <c r="O7" s="32"/>
      <c r="P7" s="28"/>
      <c r="Q7" s="25"/>
      <c r="R7" s="35"/>
      <c r="S7" s="32"/>
      <c r="T7" s="28"/>
      <c r="U7" s="25"/>
      <c r="V7" s="35"/>
      <c r="W7" s="29"/>
      <c r="X7" s="30"/>
      <c r="Y7" s="25"/>
      <c r="Z7" s="35"/>
      <c r="AA7" s="29">
        <f t="shared" si="1"/>
        <v>32615.68</v>
      </c>
      <c r="AB7" s="30">
        <f t="shared" si="2"/>
        <v>112702</v>
      </c>
      <c r="AC7" s="25">
        <f t="shared" si="3"/>
        <v>0.2893975262195879</v>
      </c>
      <c r="AD7" s="7"/>
    </row>
    <row r="8" spans="1:30" ht="14.25" customHeight="1">
      <c r="A8" s="22" t="s">
        <v>16</v>
      </c>
      <c r="B8" s="31"/>
      <c r="C8" s="32">
        <v>380225.25</v>
      </c>
      <c r="D8" s="28">
        <v>2546546</v>
      </c>
      <c r="E8" s="25">
        <f>C8/D8</f>
        <v>0.1493101832835535</v>
      </c>
      <c r="F8" s="34"/>
      <c r="G8" s="32">
        <v>115920.78</v>
      </c>
      <c r="H8" s="24">
        <v>587645</v>
      </c>
      <c r="I8" s="25">
        <f t="shared" si="0"/>
        <v>0.19726327970118013</v>
      </c>
      <c r="J8" s="35"/>
      <c r="K8" s="32">
        <v>54981.69</v>
      </c>
      <c r="L8" s="24">
        <v>266299</v>
      </c>
      <c r="M8" s="25">
        <f>K8/L8</f>
        <v>0.20646600250094818</v>
      </c>
      <c r="N8" s="35"/>
      <c r="O8" s="32">
        <v>99574.03</v>
      </c>
      <c r="P8" s="28">
        <v>531995</v>
      </c>
      <c r="Q8" s="25">
        <f>O8/P8</f>
        <v>0.18717098844913957</v>
      </c>
      <c r="R8" s="35"/>
      <c r="S8" s="32">
        <v>8182.21</v>
      </c>
      <c r="T8" s="28">
        <v>38092</v>
      </c>
      <c r="U8" s="25">
        <f>S8/T8</f>
        <v>0.2148012706080017</v>
      </c>
      <c r="V8" s="35"/>
      <c r="W8" s="32">
        <v>10412.83</v>
      </c>
      <c r="X8" s="28">
        <v>58714</v>
      </c>
      <c r="Y8" s="25">
        <f>W8/X8</f>
        <v>0.17734833259529242</v>
      </c>
      <c r="Z8" s="35"/>
      <c r="AA8" s="29">
        <f t="shared" si="1"/>
        <v>669296.7899999999</v>
      </c>
      <c r="AB8" s="30">
        <f t="shared" si="2"/>
        <v>4029291</v>
      </c>
      <c r="AC8" s="25">
        <f t="shared" si="3"/>
        <v>0.16610783137777835</v>
      </c>
      <c r="AD8" s="7"/>
    </row>
    <row r="9" spans="1:30" ht="14.25" customHeight="1">
      <c r="A9" s="22" t="s">
        <v>17</v>
      </c>
      <c r="B9" s="31"/>
      <c r="C9" s="32"/>
      <c r="D9" s="28"/>
      <c r="E9" s="25"/>
      <c r="F9" s="34"/>
      <c r="G9" s="32">
        <v>30785.21</v>
      </c>
      <c r="H9" s="28">
        <v>109554</v>
      </c>
      <c r="I9" s="25">
        <f t="shared" si="0"/>
        <v>0.2810048925643975</v>
      </c>
      <c r="J9" s="35"/>
      <c r="K9" s="32"/>
      <c r="L9" s="24"/>
      <c r="M9" s="25"/>
      <c r="N9" s="35"/>
      <c r="O9" s="32"/>
      <c r="P9" s="28"/>
      <c r="Q9" s="25"/>
      <c r="R9" s="35"/>
      <c r="S9" s="32"/>
      <c r="T9" s="28"/>
      <c r="U9" s="25"/>
      <c r="V9" s="35"/>
      <c r="W9" s="32"/>
      <c r="X9" s="28"/>
      <c r="Y9" s="25"/>
      <c r="Z9" s="35"/>
      <c r="AA9" s="29">
        <f t="shared" si="1"/>
        <v>30785.21</v>
      </c>
      <c r="AB9" s="30">
        <f t="shared" si="2"/>
        <v>109554</v>
      </c>
      <c r="AC9" s="25">
        <f t="shared" si="3"/>
        <v>0.2810048925643975</v>
      </c>
      <c r="AD9" s="7"/>
    </row>
    <row r="10" spans="1:30" ht="14.25" customHeight="1">
      <c r="A10" s="22" t="s">
        <v>18</v>
      </c>
      <c r="B10" s="31"/>
      <c r="C10" s="32">
        <v>361634.7</v>
      </c>
      <c r="D10" s="33">
        <v>2442062</v>
      </c>
      <c r="E10" s="25">
        <f>C10/D10</f>
        <v>0.14808579798547294</v>
      </c>
      <c r="F10" s="34"/>
      <c r="G10" s="32">
        <v>112137.8</v>
      </c>
      <c r="H10" s="24">
        <v>555031</v>
      </c>
      <c r="I10" s="25">
        <f t="shared" si="0"/>
        <v>0.2020388050397185</v>
      </c>
      <c r="J10" s="35"/>
      <c r="K10" s="32">
        <v>42853.6</v>
      </c>
      <c r="L10" s="24">
        <v>191964</v>
      </c>
      <c r="M10" s="25">
        <f>K10/L10</f>
        <v>0.22323769040028338</v>
      </c>
      <c r="N10" s="35"/>
      <c r="O10" s="32">
        <v>75019.24</v>
      </c>
      <c r="P10" s="28">
        <v>365168</v>
      </c>
      <c r="Q10" s="25">
        <f>O10/P10</f>
        <v>0.20543760680015774</v>
      </c>
      <c r="R10" s="35"/>
      <c r="S10" s="32">
        <v>3256.54</v>
      </c>
      <c r="T10" s="28">
        <v>11154</v>
      </c>
      <c r="U10" s="25">
        <f>S10/T10</f>
        <v>0.29196162811547427</v>
      </c>
      <c r="V10" s="35"/>
      <c r="W10" s="32">
        <v>12489.97</v>
      </c>
      <c r="X10" s="28">
        <v>74664</v>
      </c>
      <c r="Y10" s="25">
        <f>W10/X10</f>
        <v>0.16728235829851065</v>
      </c>
      <c r="Z10" s="35"/>
      <c r="AA10" s="29">
        <f t="shared" si="1"/>
        <v>607391.85</v>
      </c>
      <c r="AB10" s="30">
        <f t="shared" si="2"/>
        <v>3640043</v>
      </c>
      <c r="AC10" s="25">
        <f t="shared" si="3"/>
        <v>0.16686392166246386</v>
      </c>
      <c r="AD10" s="7"/>
    </row>
    <row r="11" spans="1:30" ht="14.25" customHeight="1">
      <c r="A11" s="22" t="s">
        <v>19</v>
      </c>
      <c r="B11" s="31"/>
      <c r="C11" s="32"/>
      <c r="D11" s="33"/>
      <c r="E11" s="25"/>
      <c r="F11" s="34"/>
      <c r="G11" s="32">
        <v>28452.15</v>
      </c>
      <c r="H11" s="33">
        <v>96533</v>
      </c>
      <c r="I11" s="25">
        <f t="shared" si="0"/>
        <v>0.2947401406772814</v>
      </c>
      <c r="J11" s="35"/>
      <c r="K11" s="32"/>
      <c r="L11" s="24"/>
      <c r="M11" s="25"/>
      <c r="N11" s="35"/>
      <c r="O11" s="32"/>
      <c r="P11" s="28"/>
      <c r="Q11" s="25"/>
      <c r="R11" s="35"/>
      <c r="S11" s="32"/>
      <c r="T11" s="28"/>
      <c r="U11" s="25"/>
      <c r="V11" s="35"/>
      <c r="W11" s="32"/>
      <c r="X11" s="28"/>
      <c r="Y11" s="25"/>
      <c r="Z11" s="35"/>
      <c r="AA11" s="29">
        <f t="shared" si="1"/>
        <v>28452.15</v>
      </c>
      <c r="AB11" s="30">
        <f t="shared" si="2"/>
        <v>96533</v>
      </c>
      <c r="AC11" s="25">
        <f t="shared" si="3"/>
        <v>0.2947401406772814</v>
      </c>
      <c r="AD11" s="7"/>
    </row>
    <row r="12" spans="1:30" ht="14.25" customHeight="1">
      <c r="A12" s="22" t="s">
        <v>20</v>
      </c>
      <c r="B12" s="31"/>
      <c r="C12" s="32">
        <v>323473.44</v>
      </c>
      <c r="D12" s="33">
        <v>2219542</v>
      </c>
      <c r="E12" s="25">
        <f>C12/D12</f>
        <v>0.1457388235951381</v>
      </c>
      <c r="F12" s="34"/>
      <c r="G12" s="32">
        <v>100899.64</v>
      </c>
      <c r="H12" s="24">
        <v>480161</v>
      </c>
      <c r="I12" s="25">
        <f t="shared" si="0"/>
        <v>0.21013709984775938</v>
      </c>
      <c r="J12" s="35"/>
      <c r="K12" s="32">
        <v>28346.66</v>
      </c>
      <c r="L12" s="24">
        <v>100939</v>
      </c>
      <c r="M12" s="25">
        <f>K12/L12</f>
        <v>0.28082960996245254</v>
      </c>
      <c r="N12" s="35"/>
      <c r="O12" s="32">
        <v>60592.65</v>
      </c>
      <c r="P12" s="28">
        <v>253006</v>
      </c>
      <c r="Q12" s="25">
        <f>O12/P12</f>
        <v>0.23949096068867934</v>
      </c>
      <c r="R12" s="35"/>
      <c r="S12" s="32">
        <v>8990.01</v>
      </c>
      <c r="T12" s="28">
        <v>42400</v>
      </c>
      <c r="U12" s="25">
        <f>S12/T12</f>
        <v>0.21202853773584907</v>
      </c>
      <c r="V12" s="35"/>
      <c r="W12" s="32">
        <v>10815.6</v>
      </c>
      <c r="X12" s="28">
        <v>61029</v>
      </c>
      <c r="Y12" s="25">
        <f>W12/X12</f>
        <v>0.1772206655852136</v>
      </c>
      <c r="Z12" s="35"/>
      <c r="AA12" s="29">
        <f t="shared" si="1"/>
        <v>533118</v>
      </c>
      <c r="AB12" s="30">
        <f t="shared" si="2"/>
        <v>3157077</v>
      </c>
      <c r="AC12" s="25">
        <f t="shared" si="3"/>
        <v>0.16886442744348648</v>
      </c>
      <c r="AD12" s="7"/>
    </row>
    <row r="13" spans="1:30" ht="14.25" customHeight="1">
      <c r="A13" s="22" t="s">
        <v>21</v>
      </c>
      <c r="B13" s="31"/>
      <c r="C13" s="32"/>
      <c r="D13" s="32"/>
      <c r="E13" s="25"/>
      <c r="F13" s="34"/>
      <c r="G13" s="32">
        <f>'MEDIA TENSIÓN'!B7</f>
        <v>31205.989999999998</v>
      </c>
      <c r="H13" s="32">
        <f>'MEDIA TENSIÓN'!C7</f>
        <v>96208</v>
      </c>
      <c r="I13" s="25">
        <f>'MEDIA TENSIÓN'!D7</f>
        <v>0.3243596166638949</v>
      </c>
      <c r="J13" s="35"/>
      <c r="K13" s="32"/>
      <c r="L13" s="24"/>
      <c r="M13" s="25"/>
      <c r="N13" s="35"/>
      <c r="O13" s="32"/>
      <c r="P13" s="28"/>
      <c r="Q13" s="25"/>
      <c r="R13" s="35"/>
      <c r="S13" s="32"/>
      <c r="T13" s="28"/>
      <c r="U13" s="25"/>
      <c r="V13" s="35"/>
      <c r="W13" s="32"/>
      <c r="X13" s="28"/>
      <c r="Y13" s="25"/>
      <c r="Z13" s="35"/>
      <c r="AA13" s="29">
        <f>G13</f>
        <v>31205.989999999998</v>
      </c>
      <c r="AB13" s="30">
        <f>H13</f>
        <v>96208</v>
      </c>
      <c r="AC13" s="25">
        <f>I13</f>
        <v>0.3243596166638949</v>
      </c>
      <c r="AD13" s="7"/>
    </row>
    <row r="14" spans="1:30" ht="14.25" customHeight="1">
      <c r="A14" s="22" t="s">
        <v>22</v>
      </c>
      <c r="B14" s="31"/>
      <c r="C14" s="32">
        <f>'Alumbrado público'!B8</f>
        <v>564482.87</v>
      </c>
      <c r="D14" s="33">
        <f>'Alumbrado público'!C8</f>
        <v>3448995</v>
      </c>
      <c r="E14" s="25">
        <f>C14/D14</f>
        <v>0.1636658997766016</v>
      </c>
      <c r="F14" s="34"/>
      <c r="G14" s="32">
        <f>Dependencias!B8</f>
        <v>122144.02</v>
      </c>
      <c r="H14" s="24">
        <f>Dependencias!C8</f>
        <v>610641</v>
      </c>
      <c r="I14" s="25">
        <f>G14/H14</f>
        <v>0.20002590720243155</v>
      </c>
      <c r="J14" s="35"/>
      <c r="K14" s="32">
        <f>'C. Sociales'!B8</f>
        <v>35697.62</v>
      </c>
      <c r="L14" s="24">
        <f>'C. Sociales'!C8</f>
        <v>143221</v>
      </c>
      <c r="M14" s="25">
        <f>K14/L14</f>
        <v>0.2492485040601588</v>
      </c>
      <c r="N14" s="35"/>
      <c r="O14" s="32">
        <f>Colegios!B8</f>
        <v>64679.719999999994</v>
      </c>
      <c r="P14" s="28">
        <f>Colegios!C8</f>
        <v>263620</v>
      </c>
      <c r="Q14" s="25">
        <f>O14/P14</f>
        <v>0.24535209771640995</v>
      </c>
      <c r="R14" s="35"/>
      <c r="S14" s="32">
        <f>Mercados!B8</f>
        <v>6106.13</v>
      </c>
      <c r="T14" s="28">
        <f>Mercados!C8</f>
        <v>27137</v>
      </c>
      <c r="U14" s="25">
        <f>S14/T14</f>
        <v>0.22501123926742087</v>
      </c>
      <c r="V14" s="35"/>
      <c r="W14" s="32">
        <f>Semáforos!B8</f>
        <v>13479.4</v>
      </c>
      <c r="X14" s="28">
        <f>Semáforos!C8</f>
        <v>80444</v>
      </c>
      <c r="Y14" s="25">
        <f>W14/X14</f>
        <v>0.16756252796976778</v>
      </c>
      <c r="Z14" s="35"/>
      <c r="AA14" s="29">
        <f>C14+G14+K14+O14+S14+W14</f>
        <v>806589.76</v>
      </c>
      <c r="AB14" s="30">
        <f>D14+H14+L14+P14+T14+X14</f>
        <v>4574058</v>
      </c>
      <c r="AC14" s="25">
        <f>AA14/AB14</f>
        <v>0.17634008138943583</v>
      </c>
      <c r="AD14" s="7"/>
    </row>
    <row r="15" spans="1:30" ht="14.25" customHeight="1">
      <c r="A15" s="22" t="s">
        <v>23</v>
      </c>
      <c r="B15" s="31"/>
      <c r="C15" s="32"/>
      <c r="D15" s="33"/>
      <c r="E15" s="25"/>
      <c r="F15" s="34"/>
      <c r="G15" s="32">
        <v>31205.99</v>
      </c>
      <c r="H15" s="32">
        <v>96208</v>
      </c>
      <c r="I15" s="25">
        <v>0.324359616663895</v>
      </c>
      <c r="J15" s="35"/>
      <c r="K15" s="32"/>
      <c r="L15" s="24"/>
      <c r="M15" s="25"/>
      <c r="N15" s="35"/>
      <c r="O15" s="32"/>
      <c r="P15" s="28"/>
      <c r="Q15" s="25"/>
      <c r="R15" s="35"/>
      <c r="S15" s="32"/>
      <c r="T15" s="28"/>
      <c r="U15" s="25"/>
      <c r="V15" s="35"/>
      <c r="W15" s="32"/>
      <c r="X15" s="28"/>
      <c r="Y15" s="25"/>
      <c r="Z15" s="35"/>
      <c r="AA15" s="29">
        <f>G15</f>
        <v>31205.99</v>
      </c>
      <c r="AB15" s="30">
        <f>H15</f>
        <v>96208</v>
      </c>
      <c r="AC15" s="25">
        <f>I15</f>
        <v>0.324359616663895</v>
      </c>
      <c r="AD15" s="7"/>
    </row>
    <row r="16" spans="1:30" ht="14.25" customHeight="1">
      <c r="A16" s="22" t="s">
        <v>24</v>
      </c>
      <c r="B16" s="31"/>
      <c r="C16" s="32">
        <f>'Alumbrado público'!B9</f>
        <v>294032.51999999996</v>
      </c>
      <c r="D16" s="33">
        <f>'Alumbrado público'!C9</f>
        <v>2100667</v>
      </c>
      <c r="E16" s="25">
        <f>C16/D16</f>
        <v>0.1399710282495988</v>
      </c>
      <c r="F16" s="34"/>
      <c r="G16" s="32">
        <f>Dependencias!B9</f>
        <v>103215.31</v>
      </c>
      <c r="H16" s="24">
        <f>Dependencias!C9</f>
        <v>520490</v>
      </c>
      <c r="I16" s="25">
        <f>G16/H16</f>
        <v>0.1983041172741071</v>
      </c>
      <c r="J16" s="35"/>
      <c r="K16" s="32">
        <f>'C. Sociales'!B9</f>
        <v>5934.34</v>
      </c>
      <c r="L16" s="24">
        <f>'C. Sociales'!C9</f>
        <v>118287</v>
      </c>
      <c r="M16" s="25">
        <f>K16/L16</f>
        <v>0.050168995747630764</v>
      </c>
      <c r="N16" s="35"/>
      <c r="O16" s="32">
        <f>Colegios!B9</f>
        <v>53662.96</v>
      </c>
      <c r="P16" s="28">
        <f>Colegios!C9</f>
        <v>200663</v>
      </c>
      <c r="Q16" s="25">
        <f>O16/P16</f>
        <v>0.26742827526748825</v>
      </c>
      <c r="R16" s="35"/>
      <c r="S16" s="32">
        <f>Mercados!B9</f>
        <v>8681.64</v>
      </c>
      <c r="T16" s="28">
        <f>Mercados!C9</f>
        <v>43475</v>
      </c>
      <c r="U16" s="25">
        <f>S16/T16</f>
        <v>0.1996926969522714</v>
      </c>
      <c r="V16" s="35"/>
      <c r="W16" s="32">
        <f>Semáforos!B9</f>
        <v>11070.8</v>
      </c>
      <c r="X16" s="28">
        <f>Semáforos!C9</f>
        <v>63442</v>
      </c>
      <c r="Y16" s="25">
        <f>W16/X16</f>
        <v>0.1745026953753034</v>
      </c>
      <c r="Z16" s="35"/>
      <c r="AA16" s="29">
        <f>C16+G16+K16+O16+S16+W16</f>
        <v>476597.57</v>
      </c>
      <c r="AB16" s="30">
        <f>D16+H16+L16+P16+T16+X16</f>
        <v>3047024</v>
      </c>
      <c r="AC16" s="25">
        <f>AA16/AB16</f>
        <v>0.15641411751269435</v>
      </c>
      <c r="AD16" s="7"/>
    </row>
    <row r="17" spans="1:30" ht="14.25" customHeight="1">
      <c r="A17" s="22" t="s">
        <v>25</v>
      </c>
      <c r="B17" s="31"/>
      <c r="C17" s="32"/>
      <c r="D17" s="33"/>
      <c r="E17" s="25"/>
      <c r="F17" s="34"/>
      <c r="G17" s="32">
        <f>'MEDIA TENSIÓN'!B9</f>
        <v>13989.66</v>
      </c>
      <c r="H17" s="24">
        <f>'MEDIA TENSIÓN'!C9</f>
        <v>58745</v>
      </c>
      <c r="I17" s="25">
        <f>'MEDIA TENSIÓN'!D9</f>
        <v>0.23814213975657503</v>
      </c>
      <c r="J17" s="35"/>
      <c r="K17" s="32"/>
      <c r="L17" s="24"/>
      <c r="M17" s="25"/>
      <c r="N17" s="35"/>
      <c r="O17" s="32"/>
      <c r="P17" s="28"/>
      <c r="Q17" s="25"/>
      <c r="R17" s="35"/>
      <c r="S17" s="32"/>
      <c r="T17" s="28"/>
      <c r="U17" s="25"/>
      <c r="V17" s="35"/>
      <c r="W17" s="32"/>
      <c r="X17" s="28"/>
      <c r="Y17" s="25"/>
      <c r="Z17" s="35"/>
      <c r="AA17" s="29">
        <f>G17</f>
        <v>13989.66</v>
      </c>
      <c r="AB17" s="30">
        <f>H17</f>
        <v>58745</v>
      </c>
      <c r="AC17" s="25">
        <f>I17</f>
        <v>0.23814213975657503</v>
      </c>
      <c r="AD17" s="7"/>
    </row>
    <row r="18" spans="1:30" ht="14.25" customHeight="1">
      <c r="A18" s="22" t="s">
        <v>26</v>
      </c>
      <c r="B18" s="31"/>
      <c r="C18" s="32">
        <f>'Alumbrado público'!B10</f>
        <v>273165.39</v>
      </c>
      <c r="D18" s="33">
        <f>'Alumbrado público'!C10</f>
        <v>1959536</v>
      </c>
      <c r="E18" s="25">
        <f>C18/D18</f>
        <v>0.1394030984886218</v>
      </c>
      <c r="F18" s="34"/>
      <c r="G18" s="32">
        <f>Dependencias!B10</f>
        <v>208909.31999999998</v>
      </c>
      <c r="H18" s="24">
        <f>Dependencias!C10</f>
        <v>1135118</v>
      </c>
      <c r="I18" s="25">
        <f>G18/H18</f>
        <v>0.18404194101406196</v>
      </c>
      <c r="J18" s="35"/>
      <c r="K18" s="32">
        <f>'C. Sociales'!B10</f>
        <v>43040.36</v>
      </c>
      <c r="L18" s="24">
        <f>'C. Sociales'!C10</f>
        <v>173549</v>
      </c>
      <c r="M18" s="25">
        <f>K18/L18</f>
        <v>0.2480011985087785</v>
      </c>
      <c r="N18" s="35"/>
      <c r="O18" s="32">
        <f>Colegios!B10</f>
        <v>41590.28</v>
      </c>
      <c r="P18" s="28">
        <f>Colegios!C10</f>
        <v>135160</v>
      </c>
      <c r="Q18" s="25">
        <f>O18/P18</f>
        <v>0.3077114530926309</v>
      </c>
      <c r="R18" s="35"/>
      <c r="S18" s="32">
        <f>Mercados!B10</f>
        <v>11773.89</v>
      </c>
      <c r="T18" s="28">
        <f>Mercados!C10</f>
        <v>63217</v>
      </c>
      <c r="U18" s="25">
        <f>S18/T18</f>
        <v>0.1862456301311356</v>
      </c>
      <c r="V18" s="35"/>
      <c r="W18" s="32">
        <f>Semáforos!B10</f>
        <v>11906.94</v>
      </c>
      <c r="X18" s="28">
        <f>Semáforos!C10</f>
        <v>72699</v>
      </c>
      <c r="Y18" s="25">
        <f>W18/X18</f>
        <v>0.16378409606734617</v>
      </c>
      <c r="Z18" s="35"/>
      <c r="AA18" s="29">
        <f>C18+G18+K18+O18+S18+W18</f>
        <v>590386.1799999999</v>
      </c>
      <c r="AB18" s="30">
        <f>D18+H18+L18+P18+T18+X18</f>
        <v>3539279</v>
      </c>
      <c r="AC18" s="25">
        <f>AA18/AB18</f>
        <v>0.16680973158657453</v>
      </c>
      <c r="AD18" s="7"/>
    </row>
    <row r="19" spans="1:30" ht="14.25" customHeight="1">
      <c r="A19" s="22" t="s">
        <v>27</v>
      </c>
      <c r="B19" s="31"/>
      <c r="C19" s="32"/>
      <c r="D19" s="33"/>
      <c r="E19" s="25"/>
      <c r="F19" s="34"/>
      <c r="G19" s="32">
        <f>'MEDIA TENSIÓN'!B10</f>
        <v>14820.55</v>
      </c>
      <c r="H19" s="24">
        <f>'MEDIA TENSIÓN'!C10</f>
        <v>64474</v>
      </c>
      <c r="I19" s="25">
        <f>'MEDIA TENSIÓN'!D10</f>
        <v>0.2298686292148773</v>
      </c>
      <c r="J19" s="35"/>
      <c r="K19" s="32"/>
      <c r="L19" s="24"/>
      <c r="M19" s="25"/>
      <c r="N19" s="35"/>
      <c r="O19" s="32"/>
      <c r="P19" s="28"/>
      <c r="Q19" s="25"/>
      <c r="R19" s="35"/>
      <c r="S19" s="32"/>
      <c r="T19" s="28"/>
      <c r="U19" s="25"/>
      <c r="V19" s="35"/>
      <c r="W19" s="32"/>
      <c r="X19" s="28"/>
      <c r="Y19" s="25"/>
      <c r="Z19" s="35"/>
      <c r="AA19" s="29">
        <f>G19</f>
        <v>14820.55</v>
      </c>
      <c r="AB19" s="30">
        <f>H19</f>
        <v>64474</v>
      </c>
      <c r="AC19" s="25">
        <f>I19</f>
        <v>0.2298686292148773</v>
      </c>
      <c r="AD19" s="7"/>
    </row>
    <row r="20" spans="1:30" ht="14.25" customHeight="1">
      <c r="A20" s="22" t="s">
        <v>28</v>
      </c>
      <c r="B20" s="31"/>
      <c r="C20" s="32">
        <f>'Alumbrado público'!B11</f>
        <v>346533.41</v>
      </c>
      <c r="D20" s="33">
        <f>'Alumbrado público'!C11</f>
        <v>2547759</v>
      </c>
      <c r="E20" s="25">
        <f>C20/D20</f>
        <v>0.13601498807383272</v>
      </c>
      <c r="F20" s="34"/>
      <c r="G20" s="32">
        <f>Dependencias!B11</f>
        <v>148668.22</v>
      </c>
      <c r="H20" s="24">
        <f>Dependencias!C11</f>
        <v>820081</v>
      </c>
      <c r="I20" s="25">
        <f>G20/H20</f>
        <v>0.18128479991610585</v>
      </c>
      <c r="J20" s="35"/>
      <c r="K20" s="32">
        <f>'C. Sociales'!B11</f>
        <v>37458.850000000006</v>
      </c>
      <c r="L20" s="24">
        <f>'C. Sociales'!C11</f>
        <v>147796</v>
      </c>
      <c r="M20" s="25">
        <f>K20/L20</f>
        <v>0.2534496874069664</v>
      </c>
      <c r="N20" s="35"/>
      <c r="O20" s="32">
        <f>Colegios!B11</f>
        <v>45963.78</v>
      </c>
      <c r="P20" s="28">
        <f>Colegios!C11</f>
        <v>164356</v>
      </c>
      <c r="Q20" s="25">
        <f>O20/P20</f>
        <v>0.27965988464065805</v>
      </c>
      <c r="R20" s="35"/>
      <c r="S20" s="32">
        <f>Mercados!B11</f>
        <v>13103.99</v>
      </c>
      <c r="T20" s="28">
        <f>Mercados!C11</f>
        <v>68107</v>
      </c>
      <c r="U20" s="25">
        <f>S20/T20</f>
        <v>0.19240298354060523</v>
      </c>
      <c r="V20" s="35"/>
      <c r="W20" s="32">
        <f>Semáforos!B11</f>
        <v>11058.48</v>
      </c>
      <c r="X20" s="28">
        <f>Semáforos!C11</f>
        <v>64960</v>
      </c>
      <c r="Y20" s="25">
        <f>W20/X20</f>
        <v>0.17023522167487684</v>
      </c>
      <c r="Z20" s="35"/>
      <c r="AA20" s="29">
        <f>C20+G20+K20+O20+S20+W20</f>
        <v>602786.73</v>
      </c>
      <c r="AB20" s="30">
        <f>D20+H20+L20+P20+T20+X20</f>
        <v>3813059</v>
      </c>
      <c r="AC20" s="25">
        <f>AA20/AB20</f>
        <v>0.1580848158919125</v>
      </c>
      <c r="AD20" s="7"/>
    </row>
    <row r="21" spans="1:30" ht="14.25" customHeight="1">
      <c r="A21" s="22" t="s">
        <v>29</v>
      </c>
      <c r="B21" s="31"/>
      <c r="C21" s="32"/>
      <c r="D21" s="33"/>
      <c r="E21" s="25"/>
      <c r="F21" s="34"/>
      <c r="G21" s="32">
        <f>'MEDIA TENSIÓN'!B11</f>
        <v>13433.43</v>
      </c>
      <c r="H21" s="24">
        <f>'MEDIA TENSIÓN'!C11</f>
        <v>58778</v>
      </c>
      <c r="I21" s="25">
        <f>'MEDIA TENSIÓN'!D11</f>
        <v>0.22854520398788664</v>
      </c>
      <c r="J21" s="35"/>
      <c r="K21" s="32"/>
      <c r="L21" s="24"/>
      <c r="M21" s="25"/>
      <c r="N21" s="35"/>
      <c r="O21" s="32"/>
      <c r="P21" s="28"/>
      <c r="Q21" s="25"/>
      <c r="R21" s="35"/>
      <c r="S21" s="32"/>
      <c r="T21" s="28"/>
      <c r="U21" s="25"/>
      <c r="V21" s="35"/>
      <c r="W21" s="32"/>
      <c r="X21" s="28"/>
      <c r="Y21" s="25"/>
      <c r="Z21" s="35"/>
      <c r="AA21" s="29">
        <f>G21</f>
        <v>13433.43</v>
      </c>
      <c r="AB21" s="30">
        <f>H21</f>
        <v>58778</v>
      </c>
      <c r="AC21" s="25">
        <f>I21</f>
        <v>0.22854520398788664</v>
      </c>
      <c r="AD21" s="7"/>
    </row>
    <row r="22" spans="1:30" ht="14.25" customHeight="1">
      <c r="A22" s="22" t="s">
        <v>30</v>
      </c>
      <c r="B22" s="31"/>
      <c r="C22" s="32">
        <f>'Alumbrado público'!B12</f>
        <v>344176.95999999996</v>
      </c>
      <c r="D22" s="33">
        <f>'Alumbrado público'!C12</f>
        <v>2488267</v>
      </c>
      <c r="E22" s="25">
        <f>C22/D22</f>
        <v>0.13831994717608678</v>
      </c>
      <c r="F22" s="34"/>
      <c r="G22" s="32">
        <f>Dependencias!B12</f>
        <v>117469.57</v>
      </c>
      <c r="H22" s="24">
        <f>Dependencias!C12</f>
        <v>616650</v>
      </c>
      <c r="I22" s="25">
        <f>G22/H22</f>
        <v>0.19049634314440933</v>
      </c>
      <c r="J22" s="35"/>
      <c r="K22" s="32">
        <f>'C. Sociales'!B12</f>
        <v>60850.45</v>
      </c>
      <c r="L22" s="24">
        <f>'C. Sociales'!C12</f>
        <v>263076</v>
      </c>
      <c r="M22" s="25">
        <f>K22/L22</f>
        <v>0.23130369170885978</v>
      </c>
      <c r="N22" s="35"/>
      <c r="O22" s="32">
        <f>Colegios!B12</f>
        <v>64463.689999999995</v>
      </c>
      <c r="P22" s="28">
        <f>Colegios!C12</f>
        <v>274840</v>
      </c>
      <c r="Q22" s="25">
        <f>O22/P22</f>
        <v>0.23454988356862172</v>
      </c>
      <c r="R22" s="35"/>
      <c r="S22" s="32">
        <f>Mercados!B12</f>
        <v>6640.39</v>
      </c>
      <c r="T22" s="28">
        <f>Mercados!C12</f>
        <v>32300</v>
      </c>
      <c r="U22" s="25">
        <f>S22/T22</f>
        <v>0.20558482972136224</v>
      </c>
      <c r="V22" s="35"/>
      <c r="W22" s="32">
        <f>Semáforos!B12</f>
        <v>13319.88</v>
      </c>
      <c r="X22" s="28">
        <f>Semáforos!C12</f>
        <v>82205</v>
      </c>
      <c r="Y22" s="25">
        <f>W22/X22</f>
        <v>0.16203247977616933</v>
      </c>
      <c r="Z22" s="35"/>
      <c r="AA22" s="29">
        <f>C22+G22+K22+O22+S22+W22</f>
        <v>606920.94</v>
      </c>
      <c r="AB22" s="30">
        <f>D22+H22+L22+P22+T22+X22</f>
        <v>3757338</v>
      </c>
      <c r="AC22" s="25">
        <f>AA22/AB22</f>
        <v>0.16152950306839575</v>
      </c>
      <c r="AD22" s="7"/>
    </row>
    <row r="23" spans="1:30" ht="14.25" customHeight="1">
      <c r="A23" s="22" t="s">
        <v>31</v>
      </c>
      <c r="B23" s="31"/>
      <c r="C23" s="32"/>
      <c r="D23" s="33"/>
      <c r="E23" s="25"/>
      <c r="F23" s="34"/>
      <c r="G23" s="32">
        <f>'MEDIA TENSIÓN'!B12</f>
        <v>3398.64</v>
      </c>
      <c r="H23" s="24">
        <f>'MEDIA TENSIÓN'!C12</f>
        <v>28859</v>
      </c>
      <c r="I23" s="25">
        <f>'MEDIA TENSIÓN'!D12</f>
        <v>0.11776707439620222</v>
      </c>
      <c r="J23" s="35"/>
      <c r="K23" s="32"/>
      <c r="L23" s="24"/>
      <c r="M23" s="25"/>
      <c r="N23" s="35"/>
      <c r="O23" s="32"/>
      <c r="P23" s="28"/>
      <c r="Q23" s="25"/>
      <c r="R23" s="35"/>
      <c r="S23" s="32"/>
      <c r="T23" s="28"/>
      <c r="U23" s="25"/>
      <c r="V23" s="35"/>
      <c r="W23" s="32"/>
      <c r="X23" s="28"/>
      <c r="Y23" s="25"/>
      <c r="Z23" s="35"/>
      <c r="AA23" s="29">
        <f>G23</f>
        <v>3398.64</v>
      </c>
      <c r="AB23" s="30">
        <f>H23</f>
        <v>28859</v>
      </c>
      <c r="AC23" s="25">
        <f>I23</f>
        <v>0.11776707439620222</v>
      </c>
      <c r="AD23" s="7"/>
    </row>
    <row r="24" spans="1:30" ht="14.25" customHeight="1">
      <c r="A24" s="22" t="s">
        <v>32</v>
      </c>
      <c r="B24" s="31"/>
      <c r="C24" s="32">
        <f>'Alumbrado público'!B13</f>
        <v>387357.16</v>
      </c>
      <c r="D24" s="33">
        <f>'Alumbrado público'!C13</f>
        <v>2641078</v>
      </c>
      <c r="E24" s="25">
        <f>C24/D24</f>
        <v>0.14666630822717086</v>
      </c>
      <c r="F24" s="34"/>
      <c r="G24" s="32">
        <f>Dependencias!B13</f>
        <v>105392.57</v>
      </c>
      <c r="H24" s="24">
        <f>Dependencias!C13</f>
        <v>519301</v>
      </c>
      <c r="I24" s="25">
        <f>G24/H24</f>
        <v>0.2029508319837628</v>
      </c>
      <c r="J24" s="35"/>
      <c r="K24" s="32">
        <f>'C. Sociales'!B13</f>
        <v>24815.87</v>
      </c>
      <c r="L24" s="24">
        <f>'C. Sociales'!C13</f>
        <v>86325</v>
      </c>
      <c r="M24" s="25">
        <f>K24/L24</f>
        <v>0.2874702577468867</v>
      </c>
      <c r="N24" s="35"/>
      <c r="O24" s="32">
        <f>Colegios!B13</f>
        <v>57756.55</v>
      </c>
      <c r="P24" s="28">
        <f>Colegios!C13</f>
        <v>256416</v>
      </c>
      <c r="Q24" s="25">
        <f>O24/P24</f>
        <v>0.22524549950081119</v>
      </c>
      <c r="R24" s="35"/>
      <c r="S24" s="32">
        <f>Mercados!B13</f>
        <v>8135.74</v>
      </c>
      <c r="T24" s="28">
        <f>Mercados!C13</f>
        <v>41981</v>
      </c>
      <c r="U24" s="25">
        <f>S24/T24</f>
        <v>0.19379576475072055</v>
      </c>
      <c r="V24" s="35"/>
      <c r="W24" s="32">
        <f>Semáforos!B13</f>
        <v>10650.87</v>
      </c>
      <c r="X24" s="28">
        <f>Semáforos!C13</f>
        <v>62364</v>
      </c>
      <c r="Y24" s="25">
        <f>W24/X24</f>
        <v>0.17078554935539736</v>
      </c>
      <c r="Z24" s="35"/>
      <c r="AA24" s="29">
        <f>C24+G24+K24+O24+S24+W24</f>
        <v>594108.76</v>
      </c>
      <c r="AB24" s="30">
        <f>D24+H24+L24+P24+T24+X24</f>
        <v>3607465</v>
      </c>
      <c r="AC24" s="25">
        <f>AA24/AB24</f>
        <v>0.16468871077058267</v>
      </c>
      <c r="AD24" s="7"/>
    </row>
    <row r="25" spans="1:30" ht="14.25" customHeight="1">
      <c r="A25" s="22" t="s">
        <v>33</v>
      </c>
      <c r="B25" s="31"/>
      <c r="C25" s="32"/>
      <c r="D25" s="33"/>
      <c r="E25" s="25"/>
      <c r="F25" s="34"/>
      <c r="G25" s="32">
        <f>'MEDIA TENSIÓN'!B13</f>
        <v>12671.810000000001</v>
      </c>
      <c r="H25" s="24">
        <f>'MEDIA TENSIÓN'!C13</f>
        <v>55536</v>
      </c>
      <c r="I25" s="25">
        <f>'MEDIA TENSIÓN'!D13</f>
        <v>0.22817289685969463</v>
      </c>
      <c r="J25" s="35"/>
      <c r="K25" s="32"/>
      <c r="L25" s="24"/>
      <c r="M25" s="25"/>
      <c r="N25" s="35"/>
      <c r="O25" s="32"/>
      <c r="P25" s="28"/>
      <c r="Q25" s="25"/>
      <c r="R25" s="35"/>
      <c r="S25" s="32"/>
      <c r="T25" s="28"/>
      <c r="U25" s="25"/>
      <c r="V25" s="35"/>
      <c r="W25" s="32"/>
      <c r="X25" s="28"/>
      <c r="Y25" s="25"/>
      <c r="Z25" s="35"/>
      <c r="AA25" s="29">
        <f>G25</f>
        <v>12671.810000000001</v>
      </c>
      <c r="AB25" s="30">
        <f>H25</f>
        <v>55536</v>
      </c>
      <c r="AC25" s="25">
        <f>I25</f>
        <v>0.22817289685969463</v>
      </c>
      <c r="AD25" s="7"/>
    </row>
    <row r="26" spans="1:30" ht="14.25" customHeight="1">
      <c r="A26" s="22" t="s">
        <v>34</v>
      </c>
      <c r="B26" s="31"/>
      <c r="C26" s="32">
        <f>'Alumbrado público'!B14</f>
        <v>412351.65</v>
      </c>
      <c r="D26" s="33">
        <f>'Alumbrado público'!C14</f>
        <v>2762500</v>
      </c>
      <c r="E26" s="25">
        <f>C26/D26</f>
        <v>0.14926756561085974</v>
      </c>
      <c r="F26" s="34"/>
      <c r="G26" s="32">
        <f>Dependencias!B14</f>
        <v>103265.92</v>
      </c>
      <c r="H26" s="24">
        <f>Dependencias!C14</f>
        <v>518753</v>
      </c>
      <c r="I26" s="25">
        <f>G26/H26</f>
        <v>0.19906568251171558</v>
      </c>
      <c r="J26" s="35"/>
      <c r="K26" s="32">
        <f>'C. Sociales'!B14</f>
        <v>33763.38</v>
      </c>
      <c r="L26" s="24">
        <f>'C. Sociales'!C14</f>
        <v>131525</v>
      </c>
      <c r="M26" s="25">
        <f>K26/L26</f>
        <v>0.25670693784451626</v>
      </c>
      <c r="N26" s="35"/>
      <c r="O26" s="32">
        <f>Colegios!B14</f>
        <v>71859.49</v>
      </c>
      <c r="P26" s="28">
        <f>Colegios!C14</f>
        <v>362834</v>
      </c>
      <c r="Q26" s="25">
        <f>O26/P26</f>
        <v>0.19805059614038378</v>
      </c>
      <c r="R26" s="35"/>
      <c r="S26" s="32">
        <f>Mercados!B14</f>
        <v>4133.24</v>
      </c>
      <c r="T26" s="28">
        <f>Mercados!C14</f>
        <v>18762</v>
      </c>
      <c r="U26" s="25">
        <f>S26/T26</f>
        <v>0.2202984756422556</v>
      </c>
      <c r="V26" s="35"/>
      <c r="W26" s="32">
        <f>Semáforos!B14</f>
        <v>12160.4</v>
      </c>
      <c r="X26" s="28">
        <f>Semáforos!C14</f>
        <v>73994</v>
      </c>
      <c r="Y26" s="25">
        <f>W26/X26</f>
        <v>0.1643430548422845</v>
      </c>
      <c r="Z26" s="35"/>
      <c r="AA26" s="29">
        <f>C26+G26+K26+O26+S26+W26</f>
        <v>637534.08</v>
      </c>
      <c r="AB26" s="30">
        <f>D26+H26+L26+P26+T26+X26</f>
        <v>3868368</v>
      </c>
      <c r="AC26" s="25">
        <f>AA26/AB26</f>
        <v>0.16480698837339156</v>
      </c>
      <c r="AD26" s="7"/>
    </row>
    <row r="27" spans="1:30" ht="14.25" customHeight="1">
      <c r="A27" s="22" t="s">
        <v>35</v>
      </c>
      <c r="B27" s="31"/>
      <c r="C27" s="32"/>
      <c r="D27" s="33"/>
      <c r="E27" s="25"/>
      <c r="F27" s="34"/>
      <c r="G27" s="32">
        <f>'MEDIA TENSIÓN'!B14</f>
        <v>14281.013</v>
      </c>
      <c r="H27" s="24">
        <f>'MEDIA TENSIÓN'!C14</f>
        <v>66358</v>
      </c>
      <c r="I27" s="25">
        <f>'MEDIA TENSIÓN'!D14</f>
        <v>0.2152116248229302</v>
      </c>
      <c r="J27" s="35"/>
      <c r="K27" s="32"/>
      <c r="L27" s="24"/>
      <c r="M27" s="25"/>
      <c r="N27" s="35"/>
      <c r="O27" s="32"/>
      <c r="P27" s="28"/>
      <c r="Q27" s="25"/>
      <c r="R27" s="35"/>
      <c r="S27" s="32"/>
      <c r="T27" s="28"/>
      <c r="U27" s="25"/>
      <c r="V27" s="35"/>
      <c r="W27" s="32"/>
      <c r="X27" s="28"/>
      <c r="Y27" s="25"/>
      <c r="Z27" s="35"/>
      <c r="AA27" s="29">
        <f>G27</f>
        <v>14281.013</v>
      </c>
      <c r="AB27" s="30">
        <f>H27</f>
        <v>66358</v>
      </c>
      <c r="AC27" s="25">
        <f>I27</f>
        <v>0.2152116248229302</v>
      </c>
      <c r="AD27" s="7"/>
    </row>
    <row r="28" spans="1:29" s="36" customFormat="1" ht="13.5" customHeight="1">
      <c r="A28" s="36" t="s">
        <v>36</v>
      </c>
      <c r="C28" s="37">
        <f>SUM(C4:C26)</f>
        <v>4601593.32</v>
      </c>
      <c r="D28" s="38">
        <f>SUM(D4:D26)</f>
        <v>31285986</v>
      </c>
      <c r="E28" s="39">
        <f>C28/D28</f>
        <v>0.14708161411310483</v>
      </c>
      <c r="F28" s="40"/>
      <c r="G28" s="41">
        <f>SUM(G4:G26)</f>
        <v>1747728.85</v>
      </c>
      <c r="H28" s="42">
        <f>SUM(H4:H26)</f>
        <v>8615699</v>
      </c>
      <c r="I28" s="43">
        <f>G28/H28</f>
        <v>0.2028539820158527</v>
      </c>
      <c r="J28" s="40"/>
      <c r="K28" s="41">
        <f>SUM(K4:K26)</f>
        <v>484668.7200000001</v>
      </c>
      <c r="L28" s="44">
        <f>SUM(L4:L26)</f>
        <v>2198400</v>
      </c>
      <c r="M28" s="45">
        <f>K28/L28</f>
        <v>0.22046430131004371</v>
      </c>
      <c r="N28" s="41"/>
      <c r="O28" s="41">
        <f>SUM(O4:O26)</f>
        <v>831695.39</v>
      </c>
      <c r="P28" s="44">
        <f>SUM(P4:P26)</f>
        <v>3806837</v>
      </c>
      <c r="Q28" s="45">
        <f>O28/P28</f>
        <v>0.21847412694580828</v>
      </c>
      <c r="R28" s="41"/>
      <c r="S28" s="41">
        <f>SUM(S4:S26)</f>
        <v>91037.08000000002</v>
      </c>
      <c r="T28" s="44">
        <f>SUM(T4:T26)</f>
        <v>438520</v>
      </c>
      <c r="U28" s="45">
        <f>S28/T28</f>
        <v>0.2076007479704461</v>
      </c>
      <c r="V28" s="41"/>
      <c r="W28" s="46">
        <f>SUM(W4:W26)</f>
        <v>139339.69</v>
      </c>
      <c r="X28" s="44">
        <f>SUM(X4:X26)</f>
        <v>823142</v>
      </c>
      <c r="Y28" s="45">
        <f>W28/X28</f>
        <v>0.16927782812686026</v>
      </c>
      <c r="Z28" s="41"/>
      <c r="AA28" s="47">
        <f>SUM(AA4:AA27)</f>
        <v>7910344.062999998</v>
      </c>
      <c r="AB28" s="48">
        <f>SUM(AB4:AB27)</f>
        <v>47234942</v>
      </c>
      <c r="AC28" s="45">
        <f>AA28/AB28</f>
        <v>0.16746805919651597</v>
      </c>
    </row>
    <row r="30" spans="1:2" ht="12.75" customHeight="1">
      <c r="A30" s="49" t="s">
        <v>37</v>
      </c>
      <c r="B30" s="49"/>
    </row>
    <row r="65536" ht="12.75" customHeight="1"/>
  </sheetData>
  <sheetProtection selectLockedCells="1" selectUnlockedCells="1"/>
  <mergeCells count="6">
    <mergeCell ref="G2:H2"/>
    <mergeCell ref="K2:L2"/>
    <mergeCell ref="O2:P2"/>
    <mergeCell ref="S2:T2"/>
    <mergeCell ref="W2:Y2"/>
    <mergeCell ref="AA2:AC2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9" sqref="B9"/>
    </sheetView>
  </sheetViews>
  <sheetFormatPr defaultColWidth="10.28125" defaultRowHeight="15" customHeight="1"/>
  <cols>
    <col min="1" max="1" width="20.140625" style="0" customWidth="1"/>
    <col min="2" max="3" width="18.7109375" style="0" customWidth="1"/>
    <col min="4" max="4" width="11.57421875" style="50" customWidth="1"/>
    <col min="5" max="16384" width="11.00390625" style="0" customWidth="1"/>
  </cols>
  <sheetData>
    <row r="1" spans="1:4" ht="15.75" customHeight="1">
      <c r="A1" s="51"/>
      <c r="B1" s="52" t="s">
        <v>38</v>
      </c>
      <c r="C1" s="52"/>
      <c r="D1" s="53"/>
    </row>
    <row r="2" spans="1:4" ht="15.75" customHeight="1">
      <c r="A2" s="51" t="s">
        <v>7</v>
      </c>
      <c r="B2" s="54" t="s">
        <v>8</v>
      </c>
      <c r="C2" s="55" t="s">
        <v>9</v>
      </c>
      <c r="D2" s="53" t="s">
        <v>10</v>
      </c>
    </row>
    <row r="3" spans="1:4" ht="15" customHeight="1">
      <c r="A3" s="56" t="s">
        <v>12</v>
      </c>
      <c r="B3" s="57">
        <v>437475.66</v>
      </c>
      <c r="C3" s="58">
        <v>2923611</v>
      </c>
      <c r="D3" s="59">
        <f aca="true" t="shared" si="0" ref="D3:D8">B3/C3</f>
        <v>0.14963538582937333</v>
      </c>
    </row>
    <row r="4" spans="1:4" ht="15" customHeight="1">
      <c r="A4" s="56" t="s">
        <v>39</v>
      </c>
      <c r="B4" s="57">
        <v>476684.31</v>
      </c>
      <c r="C4" s="60">
        <v>3205423</v>
      </c>
      <c r="D4" s="59">
        <f t="shared" si="0"/>
        <v>0.14871182680101816</v>
      </c>
    </row>
    <row r="5" spans="1:4" ht="15" customHeight="1">
      <c r="A5" s="56" t="s">
        <v>16</v>
      </c>
      <c r="B5" s="57">
        <v>380225.25</v>
      </c>
      <c r="C5" s="58">
        <v>2546546</v>
      </c>
      <c r="D5" s="59">
        <f t="shared" si="0"/>
        <v>0.1493101832835535</v>
      </c>
    </row>
    <row r="6" spans="1:4" ht="15" customHeight="1">
      <c r="A6" s="56" t="s">
        <v>40</v>
      </c>
      <c r="B6" s="57">
        <v>361634.7</v>
      </c>
      <c r="C6" s="58">
        <v>2442062</v>
      </c>
      <c r="D6" s="59">
        <f t="shared" si="0"/>
        <v>0.14808579798547294</v>
      </c>
    </row>
    <row r="7" spans="1:4" ht="16.5" customHeight="1">
      <c r="A7" s="56" t="s">
        <v>20</v>
      </c>
      <c r="B7" s="57">
        <v>323473.44</v>
      </c>
      <c r="C7" s="58">
        <v>2219542</v>
      </c>
      <c r="D7" s="59">
        <f t="shared" si="0"/>
        <v>0.1457388235951381</v>
      </c>
    </row>
    <row r="8" spans="1:4" ht="16.5" customHeight="1">
      <c r="A8" s="56" t="s">
        <v>41</v>
      </c>
      <c r="B8" s="57">
        <f>21013.52+340710.02+202759.33</f>
        <v>564482.87</v>
      </c>
      <c r="C8" s="58">
        <f>147494+2376890+924611</f>
        <v>3448995</v>
      </c>
      <c r="D8" s="59">
        <f t="shared" si="0"/>
        <v>0.1636658997766016</v>
      </c>
    </row>
    <row r="9" spans="1:4" ht="16.5" customHeight="1">
      <c r="A9" s="56" t="s">
        <v>24</v>
      </c>
      <c r="B9" s="57">
        <f>11464.81+280818.91+1748.8</f>
        <v>294032.51999999996</v>
      </c>
      <c r="C9" s="58">
        <f>80691+2015691+4285</f>
        <v>2100667</v>
      </c>
      <c r="D9" s="59">
        <f>B8/C9</f>
        <v>0.2687160173411588</v>
      </c>
    </row>
    <row r="10" spans="1:4" ht="15" customHeight="1">
      <c r="A10" s="56" t="s">
        <v>42</v>
      </c>
      <c r="B10" s="57">
        <f>10912.83+260377.05+1875.51</f>
        <v>273165.39</v>
      </c>
      <c r="C10" s="58">
        <f>77892+1871416+10228</f>
        <v>1959536</v>
      </c>
      <c r="D10" s="59">
        <f aca="true" t="shared" si="1" ref="D10:D15">B10/C10</f>
        <v>0.1394030984886218</v>
      </c>
    </row>
    <row r="11" spans="1:4" ht="15" customHeight="1">
      <c r="A11" s="56" t="s">
        <v>28</v>
      </c>
      <c r="B11" s="57">
        <f>17177.99+284827.86+37868.18+6659.38</f>
        <v>346533.41</v>
      </c>
      <c r="C11" s="58">
        <f>123679+2043457+344749+35874</f>
        <v>2547759</v>
      </c>
      <c r="D11" s="59">
        <f t="shared" si="1"/>
        <v>0.13601498807383272</v>
      </c>
    </row>
    <row r="12" spans="1:4" ht="15" customHeight="1">
      <c r="A12" s="56" t="s">
        <v>30</v>
      </c>
      <c r="B12" s="57">
        <f>21528.12+321968.12+680.72</f>
        <v>344176.95999999996</v>
      </c>
      <c r="C12" s="58">
        <f>162966+2320367+4934</f>
        <v>2488267</v>
      </c>
      <c r="D12" s="59">
        <f t="shared" si="1"/>
        <v>0.13831994717608678</v>
      </c>
    </row>
    <row r="13" spans="1:4" ht="15" customHeight="1">
      <c r="A13" s="56" t="s">
        <v>32</v>
      </c>
      <c r="B13" s="57">
        <f>7869.33+346807.79+32680.04</f>
        <v>387357.16</v>
      </c>
      <c r="C13" s="58">
        <f>60200+2358187+222691</f>
        <v>2641078</v>
      </c>
      <c r="D13" s="59">
        <f t="shared" si="1"/>
        <v>0.14666630822717086</v>
      </c>
    </row>
    <row r="14" spans="1:4" ht="15" customHeight="1">
      <c r="A14" s="56" t="s">
        <v>34</v>
      </c>
      <c r="B14" s="57">
        <f>7417.91+955.23+378433.87+25544.64</f>
        <v>412351.65</v>
      </c>
      <c r="C14" s="58">
        <f>49059+6854+2535716+170871</f>
        <v>2762500</v>
      </c>
      <c r="D14" s="59">
        <f t="shared" si="1"/>
        <v>0.14926756561085974</v>
      </c>
    </row>
    <row r="15" spans="1:4" ht="15" customHeight="1">
      <c r="A15" s="61" t="s">
        <v>36</v>
      </c>
      <c r="B15" s="62">
        <f>SUM(B3:B14)</f>
        <v>4601593.32</v>
      </c>
      <c r="C15" s="63">
        <f>SUM(C3:C14)</f>
        <v>31285986</v>
      </c>
      <c r="D15" s="64">
        <f t="shared" si="1"/>
        <v>0.14708161411310483</v>
      </c>
    </row>
    <row r="16" ht="15" customHeight="1">
      <c r="A16" s="65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9" sqref="B9"/>
    </sheetView>
  </sheetViews>
  <sheetFormatPr defaultColWidth="10.28125" defaultRowHeight="12.75" customHeight="1"/>
  <cols>
    <col min="1" max="1" width="20.140625" style="0" customWidth="1"/>
    <col min="2" max="3" width="18.7109375" style="0" customWidth="1"/>
    <col min="4" max="4" width="11.57421875" style="6" customWidth="1"/>
    <col min="5" max="16384" width="11.00390625" style="0" customWidth="1"/>
  </cols>
  <sheetData>
    <row r="1" spans="1:4" ht="15.75" customHeight="1">
      <c r="A1" s="17"/>
      <c r="B1" s="66" t="s">
        <v>43</v>
      </c>
      <c r="C1" s="66"/>
      <c r="D1" s="20"/>
    </row>
    <row r="2" spans="1:4" ht="15.75" customHeight="1">
      <c r="A2" s="51" t="s">
        <v>7</v>
      </c>
      <c r="B2" s="54" t="s">
        <v>8</v>
      </c>
      <c r="C2" s="55" t="s">
        <v>9</v>
      </c>
      <c r="D2" s="53" t="s">
        <v>10</v>
      </c>
    </row>
    <row r="3" spans="1:4" ht="15" customHeight="1">
      <c r="A3" s="56" t="s">
        <v>12</v>
      </c>
      <c r="B3" s="57">
        <v>133737.87</v>
      </c>
      <c r="C3" s="58">
        <v>685133</v>
      </c>
      <c r="D3" s="59">
        <f aca="true" t="shared" si="0" ref="D3:D15">B3/C3</f>
        <v>0.1951998663033309</v>
      </c>
    </row>
    <row r="4" spans="1:4" ht="15" customHeight="1">
      <c r="A4" s="56" t="s">
        <v>39</v>
      </c>
      <c r="B4" s="57">
        <v>128462.83</v>
      </c>
      <c r="C4" s="67">
        <v>661465</v>
      </c>
      <c r="D4" s="59">
        <f t="shared" si="0"/>
        <v>0.19420956513194199</v>
      </c>
    </row>
    <row r="5" spans="1:4" ht="15" customHeight="1">
      <c r="A5" s="56" t="s">
        <v>16</v>
      </c>
      <c r="B5" s="57">
        <v>115920.78</v>
      </c>
      <c r="C5" s="67">
        <v>587645</v>
      </c>
      <c r="D5" s="59">
        <f t="shared" si="0"/>
        <v>0.19726327970118013</v>
      </c>
    </row>
    <row r="6" spans="1:4" ht="15" customHeight="1">
      <c r="A6" s="56" t="s">
        <v>40</v>
      </c>
      <c r="B6" s="57">
        <v>112137.8</v>
      </c>
      <c r="C6" s="58">
        <v>555031</v>
      </c>
      <c r="D6" s="59">
        <f t="shared" si="0"/>
        <v>0.2020388050397185</v>
      </c>
    </row>
    <row r="7" spans="1:4" ht="15" customHeight="1">
      <c r="A7" s="56" t="s">
        <v>20</v>
      </c>
      <c r="B7" s="57">
        <v>100899.64</v>
      </c>
      <c r="C7" s="58">
        <v>480161</v>
      </c>
      <c r="D7" s="59">
        <f t="shared" si="0"/>
        <v>0.21013709984775938</v>
      </c>
    </row>
    <row r="8" spans="1:4" ht="16.5" customHeight="1">
      <c r="A8" s="56" t="s">
        <v>41</v>
      </c>
      <c r="B8" s="57">
        <f>54.69+122089.33</f>
        <v>122144.02</v>
      </c>
      <c r="C8" s="58">
        <f>193+610448</f>
        <v>610641</v>
      </c>
      <c r="D8" s="59">
        <f t="shared" si="0"/>
        <v>0.20002590720243155</v>
      </c>
    </row>
    <row r="9" spans="1:4" ht="15" customHeight="1">
      <c r="A9" s="56" t="s">
        <v>24</v>
      </c>
      <c r="B9" s="57">
        <f>384.94+102830.37</f>
        <v>103215.31</v>
      </c>
      <c r="C9" s="58">
        <f>1736+518754</f>
        <v>520490</v>
      </c>
      <c r="D9" s="59">
        <f t="shared" si="0"/>
        <v>0.1983041172741071</v>
      </c>
    </row>
    <row r="10" spans="1:4" ht="15" customHeight="1">
      <c r="A10" s="56" t="s">
        <v>42</v>
      </c>
      <c r="B10" s="57">
        <f>329.3+208580.02</f>
        <v>208909.31999999998</v>
      </c>
      <c r="C10" s="58">
        <f>1460+1133658</f>
        <v>1135118</v>
      </c>
      <c r="D10" s="59">
        <f t="shared" si="0"/>
        <v>0.18404194101406196</v>
      </c>
    </row>
    <row r="11" spans="1:4" ht="15" customHeight="1">
      <c r="A11" s="56" t="s">
        <v>28</v>
      </c>
      <c r="B11" s="57">
        <f>78.42+148589.8</f>
        <v>148668.22</v>
      </c>
      <c r="C11" s="58">
        <f>278+819803</f>
        <v>820081</v>
      </c>
      <c r="D11" s="59">
        <f t="shared" si="0"/>
        <v>0.18128479991610585</v>
      </c>
    </row>
    <row r="12" spans="1:4" ht="15" customHeight="1">
      <c r="A12" s="56" t="s">
        <v>30</v>
      </c>
      <c r="B12" s="57">
        <f>117469.57</f>
        <v>117469.57</v>
      </c>
      <c r="C12" s="58">
        <f>616650</f>
        <v>616650</v>
      </c>
      <c r="D12" s="59">
        <f t="shared" si="0"/>
        <v>0.19049634314440933</v>
      </c>
    </row>
    <row r="13" spans="1:4" ht="16.5" customHeight="1">
      <c r="A13" s="56" t="s">
        <v>32</v>
      </c>
      <c r="B13" s="57">
        <f>105392.57</f>
        <v>105392.57</v>
      </c>
      <c r="C13" s="58">
        <f>519301</f>
        <v>519301</v>
      </c>
      <c r="D13" s="59">
        <f t="shared" si="0"/>
        <v>0.2029508319837628</v>
      </c>
    </row>
    <row r="14" spans="1:4" ht="15" customHeight="1">
      <c r="A14" s="56" t="s">
        <v>34</v>
      </c>
      <c r="B14" s="57">
        <f>103265.92</f>
        <v>103265.92</v>
      </c>
      <c r="C14" s="58">
        <f>518753</f>
        <v>518753</v>
      </c>
      <c r="D14" s="59">
        <f t="shared" si="0"/>
        <v>0.19906568251171558</v>
      </c>
    </row>
    <row r="15" spans="1:4" ht="15" customHeight="1">
      <c r="A15" s="61" t="s">
        <v>36</v>
      </c>
      <c r="B15" s="62">
        <f>SUM(B3:B14)</f>
        <v>1500223.8499999996</v>
      </c>
      <c r="C15" s="63">
        <f>SUM(C3:C14)</f>
        <v>7710469</v>
      </c>
      <c r="D15" s="64">
        <f t="shared" si="0"/>
        <v>0.19456972721114627</v>
      </c>
    </row>
    <row r="16" spans="1:4" ht="15" customHeight="1">
      <c r="A16" s="65" t="s">
        <v>37</v>
      </c>
      <c r="D16" s="50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4" sqref="B14"/>
    </sheetView>
  </sheetViews>
  <sheetFormatPr defaultColWidth="10.28125" defaultRowHeight="14.25" customHeight="1"/>
  <cols>
    <col min="1" max="1" width="20.140625" style="0" customWidth="1"/>
    <col min="2" max="3" width="18.7109375" style="0" customWidth="1"/>
    <col min="4" max="4" width="11.57421875" style="6" customWidth="1"/>
    <col min="5" max="16384" width="11.00390625" style="0" customWidth="1"/>
  </cols>
  <sheetData>
    <row r="1" spans="1:4" ht="16.5" customHeight="1">
      <c r="A1" s="51"/>
      <c r="B1" s="66" t="s">
        <v>44</v>
      </c>
      <c r="C1" s="66"/>
      <c r="D1" s="68"/>
    </row>
    <row r="2" spans="1:4" ht="16.5" customHeight="1">
      <c r="A2" s="51" t="s">
        <v>7</v>
      </c>
      <c r="B2" s="54" t="s">
        <v>8</v>
      </c>
      <c r="C2" s="55" t="s">
        <v>9</v>
      </c>
      <c r="D2" s="53" t="s">
        <v>10</v>
      </c>
    </row>
    <row r="3" spans="1:4" ht="16.5" customHeight="1">
      <c r="A3" s="56" t="s">
        <v>12</v>
      </c>
      <c r="B3" s="57">
        <v>52861.58</v>
      </c>
      <c r="C3" s="58">
        <v>260461</v>
      </c>
      <c r="D3" s="59">
        <f aca="true" t="shared" si="0" ref="D3:D15">B3/C3</f>
        <v>0.20295391632528478</v>
      </c>
    </row>
    <row r="4" spans="1:4" ht="15" customHeight="1">
      <c r="A4" s="56" t="s">
        <v>39</v>
      </c>
      <c r="B4" s="57">
        <v>64064.32</v>
      </c>
      <c r="C4" s="67">
        <v>314958</v>
      </c>
      <c r="D4" s="59">
        <f t="shared" si="0"/>
        <v>0.20340591443938558</v>
      </c>
    </row>
    <row r="5" spans="1:4" ht="15" customHeight="1">
      <c r="A5" s="56" t="s">
        <v>16</v>
      </c>
      <c r="B5" s="57">
        <v>54981.69</v>
      </c>
      <c r="C5" s="67">
        <v>266299</v>
      </c>
      <c r="D5" s="59">
        <f t="shared" si="0"/>
        <v>0.20646600250094818</v>
      </c>
    </row>
    <row r="6" spans="1:4" ht="15" customHeight="1">
      <c r="A6" s="56" t="s">
        <v>40</v>
      </c>
      <c r="B6" s="57">
        <v>42853.6</v>
      </c>
      <c r="C6" s="58">
        <v>191964</v>
      </c>
      <c r="D6" s="59">
        <f t="shared" si="0"/>
        <v>0.22323769040028338</v>
      </c>
    </row>
    <row r="7" spans="1:4" ht="15" customHeight="1">
      <c r="A7" s="56" t="s">
        <v>20</v>
      </c>
      <c r="B7" s="57">
        <v>28346.66</v>
      </c>
      <c r="C7" s="58">
        <v>100939</v>
      </c>
      <c r="D7" s="59">
        <f t="shared" si="0"/>
        <v>0.28082960996245254</v>
      </c>
    </row>
    <row r="8" spans="1:4" ht="15" customHeight="1">
      <c r="A8" s="56" t="s">
        <v>41</v>
      </c>
      <c r="B8" s="57">
        <f>35697.62</f>
        <v>35697.62</v>
      </c>
      <c r="C8" s="58">
        <v>143221</v>
      </c>
      <c r="D8" s="59">
        <f t="shared" si="0"/>
        <v>0.2492485040601588</v>
      </c>
    </row>
    <row r="9" spans="1:4" ht="15" customHeight="1">
      <c r="A9" s="56" t="s">
        <v>24</v>
      </c>
      <c r="B9" s="57">
        <f>1104.37+4829.97</f>
        <v>5934.34</v>
      </c>
      <c r="C9" s="58">
        <f>2233+116054</f>
        <v>118287</v>
      </c>
      <c r="D9" s="59">
        <f t="shared" si="0"/>
        <v>0.050168995747630764</v>
      </c>
    </row>
    <row r="10" spans="1:4" ht="15" customHeight="1">
      <c r="A10" s="56" t="s">
        <v>42</v>
      </c>
      <c r="B10" s="57">
        <f>518.19+42522.17</f>
        <v>43040.36</v>
      </c>
      <c r="C10" s="58">
        <f>2845+170704</f>
        <v>173549</v>
      </c>
      <c r="D10" s="59">
        <f t="shared" si="0"/>
        <v>0.2480011985087785</v>
      </c>
    </row>
    <row r="11" spans="1:4" ht="15" customHeight="1">
      <c r="A11" s="56" t="s">
        <v>28</v>
      </c>
      <c r="B11" s="57">
        <f>570.73+36888.12</f>
        <v>37458.850000000006</v>
      </c>
      <c r="C11" s="58">
        <f>1674+146122</f>
        <v>147796</v>
      </c>
      <c r="D11" s="59">
        <f t="shared" si="0"/>
        <v>0.2534496874069664</v>
      </c>
    </row>
    <row r="12" spans="1:4" ht="15" customHeight="1">
      <c r="A12" s="56" t="s">
        <v>30</v>
      </c>
      <c r="B12" s="57">
        <f>60850.45</f>
        <v>60850.45</v>
      </c>
      <c r="C12" s="58">
        <f>263076</f>
        <v>263076</v>
      </c>
      <c r="D12" s="59">
        <f t="shared" si="0"/>
        <v>0.23130369170885978</v>
      </c>
    </row>
    <row r="13" spans="1:4" ht="15" customHeight="1">
      <c r="A13" s="56" t="s">
        <v>32</v>
      </c>
      <c r="B13" s="57">
        <f>117.27+24698.6</f>
        <v>24815.87</v>
      </c>
      <c r="C13" s="58">
        <f>415+85910</f>
        <v>86325</v>
      </c>
      <c r="D13" s="59">
        <f t="shared" si="0"/>
        <v>0.2874702577468867</v>
      </c>
    </row>
    <row r="14" spans="1:4" ht="15" customHeight="1">
      <c r="A14" s="56" t="s">
        <v>34</v>
      </c>
      <c r="B14" s="57">
        <f>78.45+33684.93</f>
        <v>33763.38</v>
      </c>
      <c r="C14" s="58">
        <f>131525</f>
        <v>131525</v>
      </c>
      <c r="D14" s="59">
        <f t="shared" si="0"/>
        <v>0.25670693784451626</v>
      </c>
    </row>
    <row r="15" spans="1:4" ht="15" customHeight="1">
      <c r="A15" s="61" t="s">
        <v>36</v>
      </c>
      <c r="B15" s="62">
        <f>SUM(B3:B14)</f>
        <v>484668.7200000001</v>
      </c>
      <c r="C15" s="63">
        <f>SUM(C3:C14)</f>
        <v>2198400</v>
      </c>
      <c r="D15" s="64">
        <f t="shared" si="0"/>
        <v>0.22046430131004371</v>
      </c>
    </row>
    <row r="16" spans="1:4" ht="16.5" customHeight="1">
      <c r="A16" s="65" t="s">
        <v>37</v>
      </c>
      <c r="D16" s="50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9" sqref="B9"/>
    </sheetView>
  </sheetViews>
  <sheetFormatPr defaultColWidth="10.28125" defaultRowHeight="12.75" customHeight="1"/>
  <cols>
    <col min="1" max="1" width="20.140625" style="0" customWidth="1"/>
    <col min="2" max="3" width="18.7109375" style="0" customWidth="1"/>
    <col min="4" max="4" width="11.57421875" style="6" customWidth="1"/>
    <col min="5" max="16384" width="11.00390625" style="0" customWidth="1"/>
  </cols>
  <sheetData>
    <row r="1" spans="1:4" ht="15.75" customHeight="1">
      <c r="A1" s="51"/>
      <c r="B1" s="66" t="s">
        <v>45</v>
      </c>
      <c r="C1" s="66"/>
      <c r="D1" s="68"/>
    </row>
    <row r="2" spans="1:4" ht="15.75" customHeight="1">
      <c r="A2" s="51" t="s">
        <v>7</v>
      </c>
      <c r="B2" s="54" t="s">
        <v>8</v>
      </c>
      <c r="C2" s="55" t="s">
        <v>9</v>
      </c>
      <c r="D2" s="53" t="s">
        <v>10</v>
      </c>
    </row>
    <row r="3" spans="1:4" ht="15" customHeight="1">
      <c r="A3" s="56" t="s">
        <v>12</v>
      </c>
      <c r="B3" s="57">
        <v>82245.46</v>
      </c>
      <c r="C3" s="58">
        <v>392728</v>
      </c>
      <c r="D3" s="59">
        <f aca="true" t="shared" si="0" ref="D3:D15">B3/C3</f>
        <v>0.2094209223686623</v>
      </c>
    </row>
    <row r="4" spans="1:4" ht="15" customHeight="1">
      <c r="A4" s="56" t="s">
        <v>39</v>
      </c>
      <c r="B4" s="57">
        <v>114287.54</v>
      </c>
      <c r="C4" s="58">
        <v>606051</v>
      </c>
      <c r="D4" s="59">
        <f t="shared" si="0"/>
        <v>0.18857742995226473</v>
      </c>
    </row>
    <row r="5" spans="1:4" ht="15" customHeight="1">
      <c r="A5" s="56" t="s">
        <v>16</v>
      </c>
      <c r="B5" s="57">
        <v>99574.03</v>
      </c>
      <c r="C5" s="58">
        <v>531995</v>
      </c>
      <c r="D5" s="59">
        <f t="shared" si="0"/>
        <v>0.18717098844913957</v>
      </c>
    </row>
    <row r="6" spans="1:4" ht="15" customHeight="1">
      <c r="A6" s="56" t="s">
        <v>40</v>
      </c>
      <c r="B6" s="57">
        <v>75019.24</v>
      </c>
      <c r="C6" s="58">
        <v>365168</v>
      </c>
      <c r="D6" s="59">
        <f t="shared" si="0"/>
        <v>0.20543760680015774</v>
      </c>
    </row>
    <row r="7" spans="1:4" ht="15" customHeight="1">
      <c r="A7" s="56" t="s">
        <v>20</v>
      </c>
      <c r="B7" s="57">
        <v>60592.65</v>
      </c>
      <c r="C7" s="58">
        <v>253006</v>
      </c>
      <c r="D7" s="59">
        <f t="shared" si="0"/>
        <v>0.23949096068867934</v>
      </c>
    </row>
    <row r="8" spans="1:4" ht="15" customHeight="1">
      <c r="A8" s="56" t="s">
        <v>41</v>
      </c>
      <c r="B8" s="57">
        <f>1593.45+63086.27</f>
        <v>64679.719999999994</v>
      </c>
      <c r="C8" s="58">
        <f>4576+259044</f>
        <v>263620</v>
      </c>
      <c r="D8" s="59">
        <f t="shared" si="0"/>
        <v>0.24535209771640995</v>
      </c>
    </row>
    <row r="9" spans="1:4" ht="15" customHeight="1">
      <c r="A9" s="56" t="s">
        <v>24</v>
      </c>
      <c r="B9" s="57">
        <f>1833.71+51829.25</f>
        <v>53662.96</v>
      </c>
      <c r="C9" s="58">
        <f>6964+193699</f>
        <v>200663</v>
      </c>
      <c r="D9" s="59">
        <f t="shared" si="0"/>
        <v>0.26742827526748825</v>
      </c>
    </row>
    <row r="10" spans="1:4" ht="15" customHeight="1">
      <c r="A10" s="56" t="s">
        <v>42</v>
      </c>
      <c r="B10" s="57">
        <f>41590.28</f>
        <v>41590.28</v>
      </c>
      <c r="C10" s="58">
        <f>135160</f>
        <v>135160</v>
      </c>
      <c r="D10" s="59">
        <f t="shared" si="0"/>
        <v>0.3077114530926309</v>
      </c>
    </row>
    <row r="11" spans="1:4" ht="15" customHeight="1">
      <c r="A11" s="56" t="s">
        <v>28</v>
      </c>
      <c r="B11" s="57">
        <f>3815.67+42148.11</f>
        <v>45963.78</v>
      </c>
      <c r="C11" s="58">
        <f>16420+147936</f>
        <v>164356</v>
      </c>
      <c r="D11" s="59">
        <f t="shared" si="0"/>
        <v>0.27965988464065805</v>
      </c>
    </row>
    <row r="12" spans="1:4" ht="15" customHeight="1">
      <c r="A12" s="56" t="s">
        <v>30</v>
      </c>
      <c r="B12" s="57">
        <f>680.2+63783.49</f>
        <v>64463.689999999995</v>
      </c>
      <c r="C12" s="58">
        <f>2513+272327</f>
        <v>274840</v>
      </c>
      <c r="D12" s="59">
        <f t="shared" si="0"/>
        <v>0.23454988356862172</v>
      </c>
    </row>
    <row r="13" spans="1:4" ht="15" customHeight="1">
      <c r="A13" s="56" t="s">
        <v>32</v>
      </c>
      <c r="B13" s="57">
        <f>903.93+56852.62</f>
        <v>57756.55</v>
      </c>
      <c r="C13" s="58">
        <f>4090+252326</f>
        <v>256416</v>
      </c>
      <c r="D13" s="59">
        <f t="shared" si="0"/>
        <v>0.22524549950081119</v>
      </c>
    </row>
    <row r="14" spans="1:4" ht="15" customHeight="1">
      <c r="A14" s="56" t="s">
        <v>34</v>
      </c>
      <c r="B14" s="57">
        <f>805.03+71054.46</f>
        <v>71859.49</v>
      </c>
      <c r="C14" s="58">
        <f>3205+359629</f>
        <v>362834</v>
      </c>
      <c r="D14" s="59">
        <f t="shared" si="0"/>
        <v>0.19805059614038378</v>
      </c>
    </row>
    <row r="15" spans="1:4" ht="15" customHeight="1">
      <c r="A15" s="61" t="s">
        <v>36</v>
      </c>
      <c r="B15" s="62">
        <f>SUM(B3:B14)</f>
        <v>831695.39</v>
      </c>
      <c r="C15" s="63">
        <f>SUM(C3:C14)</f>
        <v>3806837</v>
      </c>
      <c r="D15" s="64">
        <f t="shared" si="0"/>
        <v>0.21847412694580828</v>
      </c>
    </row>
    <row r="16" spans="1:4" ht="15" customHeight="1">
      <c r="A16" s="65" t="s">
        <v>37</v>
      </c>
      <c r="D16" s="50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9" sqref="B9"/>
    </sheetView>
  </sheetViews>
  <sheetFormatPr defaultColWidth="10.28125" defaultRowHeight="12.75" customHeight="1"/>
  <cols>
    <col min="1" max="1" width="20.140625" style="0" customWidth="1"/>
    <col min="2" max="3" width="18.7109375" style="0" customWidth="1"/>
    <col min="4" max="4" width="11.57421875" style="6" customWidth="1"/>
    <col min="5" max="16384" width="11.00390625" style="0" customWidth="1"/>
  </cols>
  <sheetData>
    <row r="1" spans="1:4" ht="15.75" customHeight="1">
      <c r="A1" s="51"/>
      <c r="B1" s="66" t="s">
        <v>46</v>
      </c>
      <c r="C1" s="66"/>
      <c r="D1" s="68"/>
    </row>
    <row r="2" spans="1:4" ht="15.75" customHeight="1">
      <c r="A2" s="51" t="s">
        <v>7</v>
      </c>
      <c r="B2" s="54" t="s">
        <v>8</v>
      </c>
      <c r="C2" s="55" t="s">
        <v>9</v>
      </c>
      <c r="D2" s="53" t="s">
        <v>10</v>
      </c>
    </row>
    <row r="3" spans="1:4" ht="15" customHeight="1">
      <c r="A3" s="56" t="s">
        <v>12</v>
      </c>
      <c r="B3" s="57">
        <v>7971.19</v>
      </c>
      <c r="C3" s="58">
        <v>36726</v>
      </c>
      <c r="D3" s="59">
        <f aca="true" t="shared" si="0" ref="D3:D15">B3/C3</f>
        <v>0.21704487284212817</v>
      </c>
    </row>
    <row r="4" spans="1:4" ht="15" customHeight="1">
      <c r="A4" s="56" t="s">
        <v>39</v>
      </c>
      <c r="B4" s="57">
        <v>4062.11</v>
      </c>
      <c r="C4" s="58">
        <v>15169</v>
      </c>
      <c r="D4" s="59">
        <f t="shared" si="0"/>
        <v>0.26779023007449404</v>
      </c>
    </row>
    <row r="5" spans="1:4" ht="15" customHeight="1">
      <c r="A5" s="56" t="s">
        <v>16</v>
      </c>
      <c r="B5" s="57">
        <v>8182.21</v>
      </c>
      <c r="C5" s="58">
        <v>38092</v>
      </c>
      <c r="D5" s="59">
        <f t="shared" si="0"/>
        <v>0.2148012706080017</v>
      </c>
    </row>
    <row r="6" spans="1:4" ht="15" customHeight="1">
      <c r="A6" s="56" t="s">
        <v>40</v>
      </c>
      <c r="B6" s="57">
        <v>3256.54</v>
      </c>
      <c r="C6" s="58">
        <v>11154</v>
      </c>
      <c r="D6" s="59">
        <f t="shared" si="0"/>
        <v>0.29196162811547427</v>
      </c>
    </row>
    <row r="7" spans="1:4" ht="15" customHeight="1">
      <c r="A7" s="56" t="s">
        <v>20</v>
      </c>
      <c r="B7" s="57">
        <v>8990.01</v>
      </c>
      <c r="C7" s="58">
        <v>42400</v>
      </c>
      <c r="D7" s="59">
        <f t="shared" si="0"/>
        <v>0.21202853773584907</v>
      </c>
    </row>
    <row r="8" spans="1:4" ht="15" customHeight="1">
      <c r="A8" s="56" t="s">
        <v>41</v>
      </c>
      <c r="B8" s="57">
        <f>6106.13</f>
        <v>6106.13</v>
      </c>
      <c r="C8" s="58">
        <f>27137</f>
        <v>27137</v>
      </c>
      <c r="D8" s="59">
        <f t="shared" si="0"/>
        <v>0.22501123926742087</v>
      </c>
    </row>
    <row r="9" spans="1:4" ht="15" customHeight="1">
      <c r="A9" s="56" t="s">
        <v>24</v>
      </c>
      <c r="B9" s="57">
        <f>8681.64</f>
        <v>8681.64</v>
      </c>
      <c r="C9" s="58">
        <f>43475</f>
        <v>43475</v>
      </c>
      <c r="D9" s="59">
        <f t="shared" si="0"/>
        <v>0.1996926969522714</v>
      </c>
    </row>
    <row r="10" spans="1:4" ht="15" customHeight="1">
      <c r="A10" s="56" t="s">
        <v>42</v>
      </c>
      <c r="B10" s="57">
        <f>11773.89</f>
        <v>11773.89</v>
      </c>
      <c r="C10" s="58">
        <f>63217</f>
        <v>63217</v>
      </c>
      <c r="D10" s="59">
        <f t="shared" si="0"/>
        <v>0.1862456301311356</v>
      </c>
    </row>
    <row r="11" spans="1:4" ht="15" customHeight="1">
      <c r="A11" s="56" t="s">
        <v>28</v>
      </c>
      <c r="B11" s="57">
        <f>13103.99</f>
        <v>13103.99</v>
      </c>
      <c r="C11" s="58">
        <f>68107</f>
        <v>68107</v>
      </c>
      <c r="D11" s="59">
        <f t="shared" si="0"/>
        <v>0.19240298354060523</v>
      </c>
    </row>
    <row r="12" spans="1:4" ht="15" customHeight="1">
      <c r="A12" s="56" t="s">
        <v>30</v>
      </c>
      <c r="B12" s="57">
        <f>747.25+5893.14</f>
        <v>6640.39</v>
      </c>
      <c r="C12" s="58">
        <f>27983+4317</f>
        <v>32300</v>
      </c>
      <c r="D12" s="59">
        <f t="shared" si="0"/>
        <v>0.20558482972136224</v>
      </c>
    </row>
    <row r="13" spans="1:4" ht="15" customHeight="1">
      <c r="A13" s="56" t="s">
        <v>32</v>
      </c>
      <c r="B13" s="57">
        <f>8135.74</f>
        <v>8135.74</v>
      </c>
      <c r="C13" s="58">
        <f>41981</f>
        <v>41981</v>
      </c>
      <c r="D13" s="59">
        <f t="shared" si="0"/>
        <v>0.19379576475072055</v>
      </c>
    </row>
    <row r="14" spans="1:4" ht="15" customHeight="1">
      <c r="A14" s="56" t="s">
        <v>34</v>
      </c>
      <c r="B14" s="57">
        <f>744.54+3388.7</f>
        <v>4133.24</v>
      </c>
      <c r="C14" s="58">
        <f>4301+14461</f>
        <v>18762</v>
      </c>
      <c r="D14" s="59">
        <f t="shared" si="0"/>
        <v>0.2202984756422556</v>
      </c>
    </row>
    <row r="15" spans="1:4" ht="15" customHeight="1">
      <c r="A15" s="61" t="s">
        <v>36</v>
      </c>
      <c r="B15" s="62">
        <f>SUM(B3:B14)</f>
        <v>91037.08000000002</v>
      </c>
      <c r="C15" s="63">
        <f>SUM(C3:C14)</f>
        <v>438520</v>
      </c>
      <c r="D15" s="64">
        <f t="shared" si="0"/>
        <v>0.2076007479704461</v>
      </c>
    </row>
    <row r="16" spans="1:4" ht="15" customHeight="1">
      <c r="A16" s="65" t="s">
        <v>37</v>
      </c>
      <c r="D16" s="50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9" sqref="B9"/>
    </sheetView>
  </sheetViews>
  <sheetFormatPr defaultColWidth="10.28125" defaultRowHeight="12.75" customHeight="1"/>
  <cols>
    <col min="1" max="1" width="20.140625" style="0" customWidth="1"/>
    <col min="2" max="3" width="18.7109375" style="0" customWidth="1"/>
    <col min="4" max="4" width="11.57421875" style="6" customWidth="1"/>
    <col min="5" max="16384" width="11.00390625" style="0" customWidth="1"/>
  </cols>
  <sheetData>
    <row r="1" spans="1:4" ht="15.75" customHeight="1">
      <c r="A1" s="51"/>
      <c r="B1" s="66" t="s">
        <v>47</v>
      </c>
      <c r="C1" s="66"/>
      <c r="D1" s="68"/>
    </row>
    <row r="2" spans="1:4" ht="15.75" customHeight="1">
      <c r="A2" s="51" t="s">
        <v>7</v>
      </c>
      <c r="B2" s="54" t="s">
        <v>8</v>
      </c>
      <c r="C2" s="55" t="s">
        <v>9</v>
      </c>
      <c r="D2" s="53" t="s">
        <v>10</v>
      </c>
    </row>
    <row r="3" spans="1:4" ht="15" customHeight="1">
      <c r="A3" s="56" t="s">
        <v>12</v>
      </c>
      <c r="B3" s="57">
        <v>11239.54</v>
      </c>
      <c r="C3" s="58">
        <v>64706</v>
      </c>
      <c r="D3" s="59">
        <f aca="true" t="shared" si="0" ref="D3:D15">B3/C3</f>
        <v>0.17370166599697093</v>
      </c>
    </row>
    <row r="4" spans="1:4" ht="15" customHeight="1">
      <c r="A4" s="56" t="s">
        <v>39</v>
      </c>
      <c r="B4" s="69">
        <v>10734.98</v>
      </c>
      <c r="C4" s="70">
        <v>63921</v>
      </c>
      <c r="D4" s="59">
        <f t="shared" si="0"/>
        <v>0.16794136512257318</v>
      </c>
    </row>
    <row r="5" spans="1:4" ht="15" customHeight="1">
      <c r="A5" s="56" t="s">
        <v>16</v>
      </c>
      <c r="B5" s="57">
        <v>10412.83</v>
      </c>
      <c r="C5" s="58">
        <v>58714</v>
      </c>
      <c r="D5" s="59">
        <f t="shared" si="0"/>
        <v>0.17734833259529242</v>
      </c>
    </row>
    <row r="6" spans="1:4" ht="15" customHeight="1">
      <c r="A6" s="56" t="s">
        <v>40</v>
      </c>
      <c r="B6" s="57">
        <v>12489.97</v>
      </c>
      <c r="C6" s="58">
        <v>74664</v>
      </c>
      <c r="D6" s="59">
        <f t="shared" si="0"/>
        <v>0.16728235829851065</v>
      </c>
    </row>
    <row r="7" spans="1:4" ht="15" customHeight="1">
      <c r="A7" s="56" t="s">
        <v>20</v>
      </c>
      <c r="B7" s="57">
        <v>10815.6</v>
      </c>
      <c r="C7" s="58">
        <v>61029</v>
      </c>
      <c r="D7" s="59">
        <f t="shared" si="0"/>
        <v>0.1772206655852136</v>
      </c>
    </row>
    <row r="8" spans="1:4" ht="16.5" customHeight="1">
      <c r="A8" s="56" t="s">
        <v>41</v>
      </c>
      <c r="B8" s="57">
        <f>218.17+13261.23</f>
        <v>13479.4</v>
      </c>
      <c r="C8" s="58">
        <f>1408+79036</f>
        <v>80444</v>
      </c>
      <c r="D8" s="59">
        <f t="shared" si="0"/>
        <v>0.16756252796976778</v>
      </c>
    </row>
    <row r="9" spans="1:4" ht="15" customHeight="1">
      <c r="A9" s="56" t="s">
        <v>24</v>
      </c>
      <c r="B9" s="57">
        <f>475.81+10594.99</f>
        <v>11070.8</v>
      </c>
      <c r="C9" s="58">
        <f>2839+60603</f>
        <v>63442</v>
      </c>
      <c r="D9" s="59">
        <f t="shared" si="0"/>
        <v>0.1745026953753034</v>
      </c>
    </row>
    <row r="10" spans="1:4" ht="15" customHeight="1">
      <c r="A10" s="56" t="s">
        <v>42</v>
      </c>
      <c r="B10" s="57">
        <f>11906.94</f>
        <v>11906.94</v>
      </c>
      <c r="C10" s="58">
        <f>72699</f>
        <v>72699</v>
      </c>
      <c r="D10" s="59">
        <f t="shared" si="0"/>
        <v>0.16378409606734617</v>
      </c>
    </row>
    <row r="11" spans="1:4" ht="15" customHeight="1">
      <c r="A11" s="56" t="s">
        <v>28</v>
      </c>
      <c r="B11" s="57">
        <f>701.82+10356.66</f>
        <v>11058.48</v>
      </c>
      <c r="C11" s="58">
        <f>4192+60768</f>
        <v>64960</v>
      </c>
      <c r="D11" s="59">
        <f t="shared" si="0"/>
        <v>0.17023522167487684</v>
      </c>
    </row>
    <row r="12" spans="1:4" ht="15" customHeight="1">
      <c r="A12" s="56" t="s">
        <v>30</v>
      </c>
      <c r="B12" s="57">
        <f>14.46+13305.42</f>
        <v>13319.88</v>
      </c>
      <c r="C12" s="58">
        <f>82205</f>
        <v>82205</v>
      </c>
      <c r="D12" s="59">
        <f t="shared" si="0"/>
        <v>0.16203247977616933</v>
      </c>
    </row>
    <row r="13" spans="1:4" ht="15" customHeight="1">
      <c r="A13" s="56" t="s">
        <v>32</v>
      </c>
      <c r="B13" s="57">
        <f>260.28+10390.59</f>
        <v>10650.87</v>
      </c>
      <c r="C13" s="58">
        <f>1854+60510</f>
        <v>62364</v>
      </c>
      <c r="D13" s="59">
        <f t="shared" si="0"/>
        <v>0.17078554935539736</v>
      </c>
    </row>
    <row r="14" spans="1:4" ht="15" customHeight="1">
      <c r="A14" s="56" t="s">
        <v>34</v>
      </c>
      <c r="B14" s="57">
        <f>12160.4</f>
        <v>12160.4</v>
      </c>
      <c r="C14" s="58">
        <f>73994</f>
        <v>73994</v>
      </c>
      <c r="D14" s="59">
        <f t="shared" si="0"/>
        <v>0.1643430548422845</v>
      </c>
    </row>
    <row r="15" spans="1:4" ht="15.75" customHeight="1">
      <c r="A15" s="61" t="s">
        <v>36</v>
      </c>
      <c r="B15" s="62">
        <f>SUM(B3:B14)</f>
        <v>139339.69</v>
      </c>
      <c r="C15" s="63">
        <f>SUM(C3:C14)</f>
        <v>823142</v>
      </c>
      <c r="D15" s="64">
        <f t="shared" si="0"/>
        <v>0.16927782812686026</v>
      </c>
    </row>
    <row r="16" spans="1:4" ht="15" customHeight="1">
      <c r="A16" s="65" t="s">
        <v>37</v>
      </c>
      <c r="D16" s="50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9" sqref="C9"/>
    </sheetView>
  </sheetViews>
  <sheetFormatPr defaultColWidth="10.28125" defaultRowHeight="12.75" customHeight="1"/>
  <cols>
    <col min="1" max="1" width="20.140625" style="0" customWidth="1"/>
    <col min="2" max="3" width="18.7109375" style="0" customWidth="1"/>
    <col min="4" max="4" width="11.57421875" style="0" customWidth="1"/>
    <col min="5" max="16384" width="11.00390625" style="0" customWidth="1"/>
  </cols>
  <sheetData>
    <row r="1" spans="1:4" ht="15.75" customHeight="1">
      <c r="A1" s="51"/>
      <c r="B1" s="66" t="s">
        <v>48</v>
      </c>
      <c r="C1" s="66"/>
      <c r="D1" s="68"/>
    </row>
    <row r="2" spans="1:4" ht="15.75" customHeight="1">
      <c r="A2" s="51" t="s">
        <v>7</v>
      </c>
      <c r="B2" s="54" t="s">
        <v>8</v>
      </c>
      <c r="C2" s="55" t="s">
        <v>9</v>
      </c>
      <c r="D2" s="53" t="s">
        <v>10</v>
      </c>
    </row>
    <row r="3" spans="1:4" ht="15" customHeight="1">
      <c r="A3" s="56" t="s">
        <v>13</v>
      </c>
      <c r="B3" s="57">
        <v>34925.89</v>
      </c>
      <c r="C3" s="67">
        <v>127633</v>
      </c>
      <c r="D3" s="71">
        <f aca="true" t="shared" si="0" ref="D3:D15">B3/C3</f>
        <v>0.27364310170567174</v>
      </c>
    </row>
    <row r="4" spans="1:4" ht="15" customHeight="1">
      <c r="A4" s="56" t="s">
        <v>15</v>
      </c>
      <c r="B4" s="57">
        <v>32615.68</v>
      </c>
      <c r="C4" s="67">
        <v>112702</v>
      </c>
      <c r="D4" s="71">
        <f t="shared" si="0"/>
        <v>0.2893975262195879</v>
      </c>
    </row>
    <row r="5" spans="1:4" ht="16.5" customHeight="1">
      <c r="A5" s="56" t="s">
        <v>17</v>
      </c>
      <c r="B5" s="57">
        <v>30785.21</v>
      </c>
      <c r="C5" s="67">
        <v>109554</v>
      </c>
      <c r="D5" s="71">
        <f t="shared" si="0"/>
        <v>0.2810048925643975</v>
      </c>
    </row>
    <row r="6" spans="1:4" ht="15" customHeight="1">
      <c r="A6" s="56" t="s">
        <v>19</v>
      </c>
      <c r="B6" s="57">
        <v>28452.15</v>
      </c>
      <c r="C6" s="67">
        <v>96533</v>
      </c>
      <c r="D6" s="71">
        <f t="shared" si="0"/>
        <v>0.2947401406772814</v>
      </c>
    </row>
    <row r="7" spans="1:4" ht="15" customHeight="1">
      <c r="A7" s="56" t="s">
        <v>20</v>
      </c>
      <c r="B7" s="57">
        <f>3990.23+6117.65+8573.3+3778.99+8745.82</f>
        <v>31205.989999999998</v>
      </c>
      <c r="C7" s="67">
        <f>4559+3633+3502+4289+10912+10982+40130+662+568+412+684+2230+5159+7140+1346</f>
        <v>96208</v>
      </c>
      <c r="D7" s="71">
        <f t="shared" si="0"/>
        <v>0.3243596166638949</v>
      </c>
    </row>
    <row r="8" spans="1:4" ht="15" customHeight="1">
      <c r="A8" s="56" t="s">
        <v>41</v>
      </c>
      <c r="B8" s="57">
        <f>3778.99+8573.3+3990.23+6117.65</f>
        <v>22460.17</v>
      </c>
      <c r="C8" s="67">
        <f>10982+40130+5159+7140+1346+662+568+412+685+2230</f>
        <v>69314</v>
      </c>
      <c r="D8" s="71">
        <f t="shared" si="0"/>
        <v>0.3240351155610699</v>
      </c>
    </row>
    <row r="9" spans="1:4" ht="15" customHeight="1">
      <c r="A9" s="56" t="s">
        <v>24</v>
      </c>
      <c r="B9" s="57">
        <f>638+4076.67+6999.62+2275.37</f>
        <v>13989.66</v>
      </c>
      <c r="C9" s="67">
        <f>433+416+641+7529+4790+2118+35182+7636</f>
        <v>58745</v>
      </c>
      <c r="D9" s="71">
        <f t="shared" si="0"/>
        <v>0.23814213975657503</v>
      </c>
    </row>
    <row r="10" spans="1:4" ht="15" customHeight="1">
      <c r="A10" s="56" t="s">
        <v>42</v>
      </c>
      <c r="B10" s="57">
        <f>3014.86+1300.35+7612.22+2893.12</f>
        <v>14820.55</v>
      </c>
      <c r="C10" s="67">
        <f>4431+5470+3776+1717+38796+10284</f>
        <v>64474</v>
      </c>
      <c r="D10" s="71">
        <f t="shared" si="0"/>
        <v>0.2298686292148773</v>
      </c>
    </row>
    <row r="11" spans="1:4" ht="15" customHeight="1">
      <c r="A11" s="56" t="s">
        <v>28</v>
      </c>
      <c r="B11" s="57">
        <f>2517.2+6517.8+2874.88+1523.55</f>
        <v>13433.43</v>
      </c>
      <c r="C11" s="67">
        <f>10216+34365+3743+5133+1215+781+1324+2001</f>
        <v>58778</v>
      </c>
      <c r="D11" s="71">
        <f t="shared" si="0"/>
        <v>0.22854520398788664</v>
      </c>
    </row>
    <row r="12" spans="1:4" ht="15" customHeight="1">
      <c r="A12" s="56" t="s">
        <v>30</v>
      </c>
      <c r="B12" s="57">
        <f>1558.52++1840.12</f>
        <v>3398.64</v>
      </c>
      <c r="C12" s="67">
        <f>2945+2115+19446+3364+989</f>
        <v>28859</v>
      </c>
      <c r="D12" s="71">
        <f t="shared" si="0"/>
        <v>0.11776707439620222</v>
      </c>
    </row>
    <row r="13" spans="1:4" ht="15" customHeight="1">
      <c r="A13" s="56" t="s">
        <v>32</v>
      </c>
      <c r="B13" s="57">
        <f>6280.51+2992.66+1840.12+1558.52</f>
        <v>12671.810000000001</v>
      </c>
      <c r="C13" s="67">
        <f>33569+10610+1944+3364+989+2945+2115</f>
        <v>55536</v>
      </c>
      <c r="D13" s="71">
        <f t="shared" si="0"/>
        <v>0.22817289685969463</v>
      </c>
    </row>
    <row r="14" spans="1:4" ht="16.5" customHeight="1">
      <c r="A14" s="56" t="s">
        <v>34</v>
      </c>
      <c r="B14" s="57">
        <f>3270.63+1756.863+2059.26+7194.26</f>
        <v>14281.013</v>
      </c>
      <c r="C14" s="67">
        <f>1444+2610+2191+12129+40267+1679+4600+1438</f>
        <v>66358</v>
      </c>
      <c r="D14" s="71">
        <f t="shared" si="0"/>
        <v>0.2152116248229302</v>
      </c>
    </row>
    <row r="15" spans="1:4" s="74" customFormat="1" ht="15.75" customHeight="1">
      <c r="A15" s="61" t="s">
        <v>36</v>
      </c>
      <c r="B15" s="62">
        <f>SUM(B3:B14)</f>
        <v>253040.19300000003</v>
      </c>
      <c r="C15" s="72">
        <f>SUM(C3:C14)</f>
        <v>944694</v>
      </c>
      <c r="D15" s="73">
        <f t="shared" si="0"/>
        <v>0.26785413371949013</v>
      </c>
    </row>
    <row r="16" ht="15" customHeight="1">
      <c r="A16" s="65" t="s">
        <v>37</v>
      </c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5" sqref="C15"/>
    </sheetView>
  </sheetViews>
  <sheetFormatPr defaultColWidth="10.28125" defaultRowHeight="12.75" customHeight="1"/>
  <cols>
    <col min="1" max="1" width="20.140625" style="0" customWidth="1"/>
    <col min="2" max="2" width="18.00390625" style="1" customWidth="1"/>
    <col min="3" max="3" width="17.421875" style="75" customWidth="1"/>
    <col min="4" max="4" width="10.140625" style="76" customWidth="1"/>
    <col min="5" max="16384" width="11.00390625" style="0" customWidth="1"/>
  </cols>
  <sheetData>
    <row r="1" spans="1:4" s="80" customFormat="1" ht="19.5" customHeight="1">
      <c r="A1" s="77"/>
      <c r="B1" s="78" t="s">
        <v>49</v>
      </c>
      <c r="C1" s="78"/>
      <c r="D1" s="79"/>
    </row>
    <row r="2" spans="1:4" ht="18" customHeight="1">
      <c r="A2" s="81" t="s">
        <v>7</v>
      </c>
      <c r="B2" s="82" t="s">
        <v>8</v>
      </c>
      <c r="C2" s="83" t="s">
        <v>9</v>
      </c>
      <c r="D2" s="84" t="s">
        <v>10</v>
      </c>
    </row>
    <row r="3" spans="1:4" s="85" customFormat="1" ht="15" customHeight="1">
      <c r="A3" s="56" t="s">
        <v>12</v>
      </c>
      <c r="B3" s="57">
        <f>General!AA4+General!AA5</f>
        <v>760457.19</v>
      </c>
      <c r="C3" s="67">
        <f>General!AB4+General!AB5</f>
        <v>4490998</v>
      </c>
      <c r="D3" s="71">
        <f aca="true" t="shared" si="0" ref="D3:D15">B3/C3</f>
        <v>0.1693292203648276</v>
      </c>
    </row>
    <row r="4" spans="1:4" s="85" customFormat="1" ht="15" customHeight="1">
      <c r="A4" s="56" t="s">
        <v>39</v>
      </c>
      <c r="B4" s="57">
        <f>General!AA6+General!AA7</f>
        <v>830911.77</v>
      </c>
      <c r="C4" s="67">
        <f>General!AB6+General!AB7</f>
        <v>4979689</v>
      </c>
      <c r="D4" s="71">
        <f t="shared" si="0"/>
        <v>0.16686017339637074</v>
      </c>
    </row>
    <row r="5" spans="1:4" s="85" customFormat="1" ht="15" customHeight="1">
      <c r="A5" s="56" t="s">
        <v>16</v>
      </c>
      <c r="B5" s="57">
        <f>General!AA8+General!AA9</f>
        <v>700081.9999999999</v>
      </c>
      <c r="C5" s="86">
        <f>General!AB8+General!AB9</f>
        <v>4138845</v>
      </c>
      <c r="D5" s="71">
        <f t="shared" si="0"/>
        <v>0.1691491225208965</v>
      </c>
    </row>
    <row r="6" spans="1:4" s="85" customFormat="1" ht="15" customHeight="1">
      <c r="A6" s="56" t="s">
        <v>40</v>
      </c>
      <c r="B6" s="57">
        <f>General!AA10+General!AA11</f>
        <v>635844</v>
      </c>
      <c r="C6" s="67">
        <f>General!AB10+General!AB11</f>
        <v>3736576</v>
      </c>
      <c r="D6" s="71">
        <f t="shared" si="0"/>
        <v>0.17016755446697726</v>
      </c>
    </row>
    <row r="7" spans="1:4" s="85" customFormat="1" ht="16.5" customHeight="1">
      <c r="A7" s="56" t="s">
        <v>20</v>
      </c>
      <c r="B7" s="57">
        <f>General!AA12+General!AA13</f>
        <v>564323.99</v>
      </c>
      <c r="C7" s="67">
        <f>General!AB12+General!AB13</f>
        <v>3253285</v>
      </c>
      <c r="D7" s="71">
        <f t="shared" si="0"/>
        <v>0.1734628198882053</v>
      </c>
    </row>
    <row r="8" spans="1:4" s="85" customFormat="1" ht="15" customHeight="1">
      <c r="A8" s="56" t="s">
        <v>41</v>
      </c>
      <c r="B8" s="57">
        <f>General!AA14+General!AA15</f>
        <v>837795.75</v>
      </c>
      <c r="C8" s="67">
        <f>General!AB14+General!AB15</f>
        <v>4670266</v>
      </c>
      <c r="D8" s="71">
        <f t="shared" si="0"/>
        <v>0.17938930030966116</v>
      </c>
    </row>
    <row r="9" spans="1:4" s="85" customFormat="1" ht="16.5" customHeight="1">
      <c r="A9" s="56" t="s">
        <v>24</v>
      </c>
      <c r="B9" s="57">
        <f>General!AA16+General!AA17</f>
        <v>490587.23</v>
      </c>
      <c r="C9" s="67">
        <f>General!AB16+General!AB17</f>
        <v>3105769</v>
      </c>
      <c r="D9" s="71">
        <f t="shared" si="0"/>
        <v>0.15795998672148506</v>
      </c>
    </row>
    <row r="10" spans="1:4" s="85" customFormat="1" ht="15" customHeight="1">
      <c r="A10" s="56" t="s">
        <v>42</v>
      </c>
      <c r="B10" s="57">
        <f>General!AA18+General!AA19</f>
        <v>605206.73</v>
      </c>
      <c r="C10" s="67">
        <f>General!AB18+General!AB19</f>
        <v>3603753</v>
      </c>
      <c r="D10" s="71">
        <f t="shared" si="0"/>
        <v>0.16793790528929145</v>
      </c>
    </row>
    <row r="11" spans="1:4" s="85" customFormat="1" ht="15" customHeight="1">
      <c r="A11" s="56" t="s">
        <v>28</v>
      </c>
      <c r="B11" s="57">
        <f>General!AA20+General!AA21</f>
        <v>616220.16</v>
      </c>
      <c r="C11" s="67">
        <f>General!AB20+General!AB21</f>
        <v>3871837</v>
      </c>
      <c r="D11" s="71">
        <f t="shared" si="0"/>
        <v>0.1591544685378026</v>
      </c>
    </row>
    <row r="12" spans="1:4" s="85" customFormat="1" ht="15" customHeight="1">
      <c r="A12" s="56" t="s">
        <v>30</v>
      </c>
      <c r="B12" s="57">
        <f>General!AA22+General!AA23</f>
        <v>610319.58</v>
      </c>
      <c r="C12" s="67">
        <f>General!AB22+General!AB23</f>
        <v>3786197</v>
      </c>
      <c r="D12" s="71">
        <f t="shared" si="0"/>
        <v>0.1611959388272718</v>
      </c>
    </row>
    <row r="13" spans="1:4" s="85" customFormat="1" ht="15" customHeight="1">
      <c r="A13" s="56" t="s">
        <v>32</v>
      </c>
      <c r="B13" s="57">
        <f>General!AA24+General!AA25</f>
        <v>606780.5700000001</v>
      </c>
      <c r="C13" s="67">
        <f>General!AB24+General!AB25</f>
        <v>3663001</v>
      </c>
      <c r="D13" s="71">
        <f t="shared" si="0"/>
        <v>0.16565121603843408</v>
      </c>
    </row>
    <row r="14" spans="1:4" s="85" customFormat="1" ht="15" customHeight="1">
      <c r="A14" s="56" t="s">
        <v>34</v>
      </c>
      <c r="B14" s="57">
        <f>General!AA26+General!AA27</f>
        <v>651815.093</v>
      </c>
      <c r="C14" s="67">
        <f>General!AB26+General!AB27</f>
        <v>3934726</v>
      </c>
      <c r="D14" s="71">
        <f t="shared" si="0"/>
        <v>0.16565704778426757</v>
      </c>
    </row>
    <row r="15" spans="1:4" ht="18" customHeight="1">
      <c r="A15" s="87" t="s">
        <v>36</v>
      </c>
      <c r="B15" s="62">
        <f>SUM(B3:B14)</f>
        <v>7910344.063000001</v>
      </c>
      <c r="C15" s="72">
        <f>SUM(C3:C14)</f>
        <v>47234942</v>
      </c>
      <c r="D15" s="88">
        <f t="shared" si="0"/>
        <v>0.16746805919651603</v>
      </c>
    </row>
    <row r="16" spans="1:4" ht="15" customHeight="1">
      <c r="A16" s="65" t="s">
        <v>37</v>
      </c>
      <c r="D16" s="50"/>
    </row>
  </sheetData>
  <sheetProtection selectLockedCells="1" selectUnlockedCells="1"/>
  <mergeCells count="1">
    <mergeCell ref="B1:C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Faustino Carnicero Dantas</dc:creator>
  <cp:keywords/>
  <dc:description/>
  <cp:lastModifiedBy/>
  <cp:lastPrinted>2016-04-18T12:50:18Z</cp:lastPrinted>
  <dcterms:created xsi:type="dcterms:W3CDTF">2008-02-07T08:30:34Z</dcterms:created>
  <dcterms:modified xsi:type="dcterms:W3CDTF">2016-04-18T12:50:39Z</dcterms:modified>
  <cp:category/>
  <cp:version/>
  <cp:contentType/>
  <cp:contentStatus/>
  <cp:revision>6</cp:revision>
</cp:coreProperties>
</file>